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19560" yWindow="680" windowWidth="14360" windowHeight="7620" firstSheet="1" activeTab="4"/>
  </bookViews>
  <sheets>
    <sheet name="Assumptions" sheetId="4" r:id="rId1"/>
    <sheet name="Data" sheetId="5" r:id="rId2"/>
    <sheet name="Summary" sheetId="2" r:id="rId3"/>
    <sheet name="Balance Sheet" sheetId="3" r:id="rId4"/>
    <sheet name="PFS" sheetId="6" r:id="rId5"/>
    <sheet name="Budget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3" l="1"/>
  <c r="E56" i="3"/>
  <c r="E58" i="3"/>
  <c r="E21" i="3"/>
  <c r="E27" i="3"/>
  <c r="C7" i="6"/>
  <c r="C8" i="6"/>
  <c r="C9" i="6"/>
  <c r="C10" i="6"/>
  <c r="C11" i="6"/>
  <c r="C12" i="6"/>
  <c r="C13" i="6"/>
  <c r="C14" i="6"/>
  <c r="C15" i="6"/>
  <c r="C17" i="6"/>
  <c r="F55" i="3"/>
  <c r="G55" i="3"/>
  <c r="H55" i="3"/>
  <c r="I55" i="3"/>
  <c r="J55" i="3"/>
  <c r="K55" i="3"/>
  <c r="L55" i="3"/>
  <c r="AD55" i="3"/>
  <c r="AE55" i="3"/>
  <c r="AF55" i="3"/>
  <c r="AG55" i="3"/>
  <c r="AH55" i="3"/>
  <c r="E55" i="3"/>
  <c r="D56" i="7"/>
  <c r="D16" i="7"/>
  <c r="D25" i="7"/>
  <c r="D30" i="7"/>
  <c r="D36" i="7"/>
  <c r="D39" i="7"/>
  <c r="D43" i="7"/>
  <c r="D48" i="7"/>
  <c r="D52" i="7"/>
  <c r="D59" i="7"/>
  <c r="E56" i="7"/>
  <c r="E16" i="7"/>
  <c r="E25" i="7"/>
  <c r="E30" i="7"/>
  <c r="E36" i="7"/>
  <c r="E39" i="7"/>
  <c r="E43" i="7"/>
  <c r="E48" i="7"/>
  <c r="E52" i="7"/>
  <c r="E59" i="7"/>
  <c r="F56" i="7"/>
  <c r="F14" i="7"/>
  <c r="F16" i="7"/>
  <c r="F25" i="7"/>
  <c r="F30" i="7"/>
  <c r="F36" i="7"/>
  <c r="F39" i="7"/>
  <c r="F43" i="7"/>
  <c r="F48" i="7"/>
  <c r="F52" i="7"/>
  <c r="F59" i="7"/>
  <c r="C56" i="7"/>
  <c r="G56" i="7"/>
  <c r="C52" i="7"/>
  <c r="G52" i="7"/>
  <c r="C43" i="7"/>
  <c r="C39" i="7"/>
  <c r="C36" i="7"/>
  <c r="C30" i="7"/>
  <c r="C25" i="7"/>
  <c r="C16" i="7"/>
  <c r="C46" i="7"/>
  <c r="C48" i="7"/>
  <c r="C59" i="7"/>
  <c r="G59" i="7"/>
  <c r="G36" i="7"/>
  <c r="G43" i="7"/>
  <c r="G39" i="7"/>
  <c r="G30" i="7"/>
  <c r="G25" i="7"/>
  <c r="G15" i="7"/>
  <c r="G17" i="7"/>
  <c r="G18" i="7"/>
  <c r="G19" i="7"/>
  <c r="G20" i="7"/>
  <c r="G31" i="7"/>
  <c r="G55" i="7"/>
  <c r="G44" i="7"/>
  <c r="G21" i="7"/>
  <c r="G22" i="7"/>
  <c r="G23" i="7"/>
  <c r="G24" i="7"/>
  <c r="G26" i="7"/>
  <c r="G27" i="7"/>
  <c r="G33" i="7"/>
  <c r="G34" i="7"/>
  <c r="G35" i="7"/>
  <c r="G28" i="7"/>
  <c r="G29" i="7"/>
  <c r="G37" i="7"/>
  <c r="G38" i="7"/>
  <c r="G45" i="7"/>
  <c r="G47" i="7"/>
  <c r="G40" i="7"/>
  <c r="G41" i="7"/>
  <c r="G42" i="7"/>
  <c r="G49" i="7"/>
  <c r="G54" i="7"/>
  <c r="G57" i="7"/>
  <c r="G53" i="7"/>
  <c r="G50" i="7"/>
  <c r="G51" i="7"/>
  <c r="G32" i="7"/>
  <c r="C7" i="7"/>
  <c r="G8" i="7"/>
  <c r="D9" i="7"/>
  <c r="D11" i="7"/>
  <c r="E9" i="7"/>
  <c r="E11" i="7"/>
  <c r="F9" i="7"/>
  <c r="F11" i="7"/>
  <c r="C9" i="7"/>
  <c r="C21" i="6"/>
  <c r="C23" i="6"/>
  <c r="C25" i="6"/>
  <c r="G46" i="7"/>
  <c r="G48" i="7"/>
  <c r="G9" i="7"/>
  <c r="D61" i="7"/>
  <c r="C11" i="7"/>
  <c r="G7" i="7"/>
  <c r="G16" i="7"/>
  <c r="E61" i="7"/>
  <c r="G14" i="7"/>
  <c r="C61" i="7"/>
  <c r="G11" i="7"/>
  <c r="F61" i="7"/>
  <c r="F62" i="3"/>
  <c r="F30" i="3"/>
  <c r="F16" i="3"/>
  <c r="F15" i="3"/>
  <c r="F14" i="3"/>
  <c r="X25" i="2"/>
  <c r="H26" i="2"/>
  <c r="I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H28" i="2"/>
  <c r="I28" i="2"/>
  <c r="K28" i="2"/>
  <c r="L28" i="2"/>
  <c r="C30" i="2"/>
  <c r="C60" i="5"/>
  <c r="C28" i="2"/>
  <c r="C62" i="5"/>
  <c r="C27" i="2"/>
  <c r="C59" i="5"/>
  <c r="C26" i="2"/>
  <c r="C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D15" i="2"/>
  <c r="E15" i="2"/>
  <c r="F15" i="2"/>
  <c r="G15" i="2"/>
  <c r="C15" i="2"/>
  <c r="D14" i="2"/>
  <c r="E14" i="2"/>
  <c r="F14" i="2"/>
  <c r="G14" i="2"/>
  <c r="H14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D13" i="2"/>
  <c r="E13" i="2"/>
  <c r="F13" i="2"/>
  <c r="G13" i="2"/>
  <c r="I13" i="2"/>
  <c r="C16" i="2"/>
  <c r="C14" i="2"/>
  <c r="C13" i="2"/>
  <c r="C12" i="5"/>
  <c r="C12" i="2"/>
  <c r="C11" i="2"/>
  <c r="C10" i="2"/>
  <c r="H36" i="5"/>
  <c r="C36" i="5"/>
  <c r="C35" i="5"/>
  <c r="C37" i="5"/>
  <c r="C23" i="2"/>
  <c r="G61" i="7"/>
  <c r="D11" i="5"/>
  <c r="C55" i="5"/>
  <c r="C56" i="5"/>
  <c r="C57" i="5"/>
  <c r="C61" i="5"/>
  <c r="C29" i="2"/>
  <c r="C46" i="5"/>
  <c r="C47" i="5"/>
  <c r="C48" i="5"/>
  <c r="C49" i="5"/>
  <c r="C50" i="5"/>
  <c r="C51" i="5"/>
  <c r="C52" i="5"/>
  <c r="C53" i="5"/>
  <c r="C24" i="2"/>
  <c r="C43" i="5"/>
  <c r="C44" i="5"/>
  <c r="C45" i="5"/>
  <c r="C38" i="5"/>
  <c r="C39" i="5"/>
  <c r="C40" i="5"/>
  <c r="C41" i="5"/>
  <c r="C42" i="5"/>
  <c r="C22" i="2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I15" i="5"/>
  <c r="I14" i="2"/>
  <c r="M45" i="3"/>
  <c r="I36" i="5"/>
  <c r="J36" i="5"/>
  <c r="K36" i="5"/>
  <c r="L36" i="5"/>
  <c r="M36" i="5"/>
  <c r="N36" i="5"/>
  <c r="O36" i="5"/>
  <c r="P36" i="5"/>
  <c r="Q36" i="5"/>
  <c r="J14" i="5"/>
  <c r="H14" i="5"/>
  <c r="H13" i="2"/>
  <c r="M46" i="3"/>
  <c r="N46" i="3"/>
  <c r="O46" i="3"/>
  <c r="P46" i="3"/>
  <c r="Q46" i="3"/>
  <c r="M55" i="3"/>
  <c r="K14" i="5"/>
  <c r="J13" i="2"/>
  <c r="J15" i="5"/>
  <c r="C21" i="2"/>
  <c r="C32" i="2"/>
  <c r="C64" i="5"/>
  <c r="O47" i="3"/>
  <c r="P47" i="3"/>
  <c r="Q47" i="3"/>
  <c r="R47" i="3"/>
  <c r="N45" i="3"/>
  <c r="O48" i="3"/>
  <c r="P48" i="3"/>
  <c r="Q48" i="3"/>
  <c r="R48" i="3"/>
  <c r="R49" i="3"/>
  <c r="S49" i="3"/>
  <c r="O45" i="3"/>
  <c r="N55" i="3"/>
  <c r="S47" i="3"/>
  <c r="L14" i="5"/>
  <c r="K13" i="2"/>
  <c r="K15" i="5"/>
  <c r="J14" i="2"/>
  <c r="R55" i="3"/>
  <c r="S48" i="3"/>
  <c r="Q55" i="3"/>
  <c r="P45" i="3"/>
  <c r="P55" i="3"/>
  <c r="O55" i="3"/>
  <c r="M14" i="5"/>
  <c r="L13" i="2"/>
  <c r="L15" i="5"/>
  <c r="K14" i="2"/>
  <c r="T49" i="3"/>
  <c r="S50" i="3"/>
  <c r="T50" i="3"/>
  <c r="U50" i="3"/>
  <c r="V50" i="3"/>
  <c r="W50" i="3"/>
  <c r="U49" i="3"/>
  <c r="V49" i="3"/>
  <c r="S55" i="3"/>
  <c r="N14" i="5"/>
  <c r="M13" i="2"/>
  <c r="M15" i="5"/>
  <c r="L14" i="2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C44" i="3"/>
  <c r="C24" i="3"/>
  <c r="F24" i="3"/>
  <c r="O14" i="5"/>
  <c r="N13" i="2"/>
  <c r="N15" i="5"/>
  <c r="M14" i="2"/>
  <c r="G62" i="3"/>
  <c r="P14" i="5"/>
  <c r="O13" i="2"/>
  <c r="O15" i="5"/>
  <c r="N14" i="2"/>
  <c r="H62" i="3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D12" i="5"/>
  <c r="F44" i="3"/>
  <c r="C11" i="3"/>
  <c r="Q14" i="5"/>
  <c r="P13" i="2"/>
  <c r="E12" i="5"/>
  <c r="D12" i="2"/>
  <c r="P15" i="5"/>
  <c r="O14" i="2"/>
  <c r="G44" i="3"/>
  <c r="I62" i="3"/>
  <c r="R14" i="5"/>
  <c r="Q13" i="2"/>
  <c r="F12" i="5"/>
  <c r="E12" i="2"/>
  <c r="Q15" i="5"/>
  <c r="P14" i="2"/>
  <c r="H44" i="3"/>
  <c r="J62" i="3"/>
  <c r="S14" i="5"/>
  <c r="R13" i="2"/>
  <c r="G12" i="5"/>
  <c r="F12" i="2"/>
  <c r="R15" i="5"/>
  <c r="Q14" i="2"/>
  <c r="I44" i="3"/>
  <c r="K62" i="3"/>
  <c r="T14" i="5"/>
  <c r="S13" i="2"/>
  <c r="H12" i="5"/>
  <c r="G12" i="2"/>
  <c r="S15" i="5"/>
  <c r="R14" i="2"/>
  <c r="J44" i="3"/>
  <c r="L62" i="3"/>
  <c r="U48" i="3"/>
  <c r="F41" i="3"/>
  <c r="G41" i="3"/>
  <c r="H41" i="3"/>
  <c r="I41" i="3"/>
  <c r="J41" i="3"/>
  <c r="K41" i="3"/>
  <c r="K64" i="3"/>
  <c r="L41" i="3"/>
  <c r="L64" i="3"/>
  <c r="M41" i="3"/>
  <c r="M64" i="3"/>
  <c r="N41" i="3"/>
  <c r="N64" i="3"/>
  <c r="O41" i="3"/>
  <c r="O64" i="3"/>
  <c r="P41" i="3"/>
  <c r="P64" i="3"/>
  <c r="Q41" i="3"/>
  <c r="Q64" i="3"/>
  <c r="R41" i="3"/>
  <c r="R64" i="3"/>
  <c r="S41" i="3"/>
  <c r="S64" i="3"/>
  <c r="T41" i="3"/>
  <c r="T64" i="3"/>
  <c r="U41" i="3"/>
  <c r="U64" i="3"/>
  <c r="V41" i="3"/>
  <c r="V64" i="3"/>
  <c r="W41" i="3"/>
  <c r="W64" i="3"/>
  <c r="X41" i="3"/>
  <c r="X64" i="3"/>
  <c r="Y41" i="3"/>
  <c r="Y64" i="3"/>
  <c r="Z41" i="3"/>
  <c r="Z64" i="3"/>
  <c r="AA41" i="3"/>
  <c r="AA64" i="3"/>
  <c r="AB41" i="3"/>
  <c r="AB64" i="3"/>
  <c r="AC41" i="3"/>
  <c r="AC64" i="3"/>
  <c r="AD41" i="3"/>
  <c r="AD64" i="3"/>
  <c r="AE41" i="3"/>
  <c r="AE64" i="3"/>
  <c r="AF41" i="3"/>
  <c r="AF64" i="3"/>
  <c r="AG41" i="3"/>
  <c r="AG64" i="3"/>
  <c r="AH41" i="3"/>
  <c r="AH64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V48" i="3"/>
  <c r="E65" i="3"/>
  <c r="U14" i="5"/>
  <c r="T13" i="2"/>
  <c r="I12" i="5"/>
  <c r="H12" i="2"/>
  <c r="T15" i="5"/>
  <c r="S14" i="2"/>
  <c r="K44" i="3"/>
  <c r="J64" i="3"/>
  <c r="J65" i="3"/>
  <c r="H64" i="3"/>
  <c r="H65" i="3"/>
  <c r="F64" i="3"/>
  <c r="F65" i="3"/>
  <c r="I64" i="3"/>
  <c r="I65" i="3"/>
  <c r="G64" i="3"/>
  <c r="G65" i="3"/>
  <c r="E64" i="3"/>
  <c r="K65" i="3"/>
  <c r="M62" i="3"/>
  <c r="L65" i="3"/>
  <c r="E32" i="3"/>
  <c r="E34" i="3"/>
  <c r="D58" i="5"/>
  <c r="D30" i="2"/>
  <c r="W48" i="3"/>
  <c r="V14" i="5"/>
  <c r="U13" i="2"/>
  <c r="J12" i="5"/>
  <c r="I12" i="2"/>
  <c r="U15" i="5"/>
  <c r="T14" i="2"/>
  <c r="L44" i="3"/>
  <c r="N62" i="3"/>
  <c r="M65" i="3"/>
  <c r="E58" i="5"/>
  <c r="E30" i="2"/>
  <c r="T51" i="3"/>
  <c r="G30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F19" i="3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G19" i="3"/>
  <c r="F21" i="3"/>
  <c r="U51" i="3"/>
  <c r="V51" i="3"/>
  <c r="T55" i="3"/>
  <c r="W14" i="5"/>
  <c r="V13" i="2"/>
  <c r="K12" i="5"/>
  <c r="J12" i="2"/>
  <c r="V15" i="5"/>
  <c r="U14" i="2"/>
  <c r="O62" i="3"/>
  <c r="N65" i="3"/>
  <c r="F58" i="5"/>
  <c r="F30" i="2"/>
  <c r="F32" i="3"/>
  <c r="H30" i="3"/>
  <c r="G32" i="3"/>
  <c r="H19" i="3"/>
  <c r="G21" i="3"/>
  <c r="W51" i="3"/>
  <c r="X51" i="3"/>
  <c r="U52" i="3"/>
  <c r="V52" i="3"/>
  <c r="U55" i="3"/>
  <c r="X14" i="5"/>
  <c r="W13" i="2"/>
  <c r="L12" i="5"/>
  <c r="K12" i="2"/>
  <c r="W15" i="5"/>
  <c r="V14" i="2"/>
  <c r="P62" i="3"/>
  <c r="O65" i="3"/>
  <c r="G58" i="5"/>
  <c r="G30" i="2"/>
  <c r="I30" i="3"/>
  <c r="H32" i="3"/>
  <c r="F39" i="5"/>
  <c r="G39" i="5"/>
  <c r="E39" i="5"/>
  <c r="D39" i="5"/>
  <c r="C18" i="4"/>
  <c r="D16" i="5"/>
  <c r="D11" i="2"/>
  <c r="I19" i="3"/>
  <c r="H21" i="3"/>
  <c r="V53" i="3"/>
  <c r="W53" i="3"/>
  <c r="W52" i="3"/>
  <c r="X52" i="3"/>
  <c r="Y52" i="3"/>
  <c r="Y14" i="5"/>
  <c r="X13" i="2"/>
  <c r="M12" i="5"/>
  <c r="L12" i="2"/>
  <c r="X15" i="5"/>
  <c r="W14" i="2"/>
  <c r="X53" i="3"/>
  <c r="Y53" i="3"/>
  <c r="Q62" i="3"/>
  <c r="P65" i="3"/>
  <c r="E16" i="5"/>
  <c r="C18" i="2"/>
  <c r="H58" i="5"/>
  <c r="H30" i="2"/>
  <c r="W54" i="3"/>
  <c r="J30" i="3"/>
  <c r="I32" i="3"/>
  <c r="F56" i="3"/>
  <c r="D19" i="5"/>
  <c r="C19" i="5"/>
  <c r="D36" i="5"/>
  <c r="E36" i="5"/>
  <c r="F36" i="5"/>
  <c r="G3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D52" i="5"/>
  <c r="E52" i="5"/>
  <c r="F52" i="5"/>
  <c r="G52" i="5"/>
  <c r="H52" i="5"/>
  <c r="I52" i="5"/>
  <c r="J52" i="5"/>
  <c r="K52" i="5"/>
  <c r="L52" i="5"/>
  <c r="M52" i="5"/>
  <c r="N52" i="5"/>
  <c r="O52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B47" i="5"/>
  <c r="AC47" i="5"/>
  <c r="AD47" i="5"/>
  <c r="AE47" i="5"/>
  <c r="AF47" i="5"/>
  <c r="D56" i="5"/>
  <c r="E56" i="5"/>
  <c r="F56" i="5"/>
  <c r="G56" i="5"/>
  <c r="D62" i="5"/>
  <c r="D27" i="2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D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D61" i="5"/>
  <c r="E61" i="5"/>
  <c r="F61" i="5"/>
  <c r="G61" i="5"/>
  <c r="J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D41" i="5"/>
  <c r="E41" i="5"/>
  <c r="F41" i="5"/>
  <c r="G41" i="5"/>
  <c r="I41" i="5"/>
  <c r="J41" i="5"/>
  <c r="D40" i="5"/>
  <c r="E40" i="5"/>
  <c r="F40" i="5"/>
  <c r="G40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B48" i="5"/>
  <c r="AC48" i="5"/>
  <c r="AD48" i="5"/>
  <c r="AE48" i="5"/>
  <c r="AF48" i="5"/>
  <c r="D54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55" i="3"/>
  <c r="J19" i="3"/>
  <c r="I21" i="3"/>
  <c r="V55" i="3"/>
  <c r="Z14" i="5"/>
  <c r="Y13" i="2"/>
  <c r="N12" i="5"/>
  <c r="M12" i="2"/>
  <c r="AA53" i="5"/>
  <c r="AA24" i="2"/>
  <c r="E19" i="5"/>
  <c r="E11" i="2"/>
  <c r="Y15" i="5"/>
  <c r="X14" i="2"/>
  <c r="E54" i="5"/>
  <c r="D25" i="2"/>
  <c r="W23" i="5"/>
  <c r="X23" i="5"/>
  <c r="Y23" i="5"/>
  <c r="Z23" i="5"/>
  <c r="AA23" i="5"/>
  <c r="AB23" i="5"/>
  <c r="AC23" i="5"/>
  <c r="AD23" i="5"/>
  <c r="AE23" i="5"/>
  <c r="AF23" i="5"/>
  <c r="E43" i="5"/>
  <c r="D45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P52" i="5"/>
  <c r="Q52" i="5"/>
  <c r="R52" i="5"/>
  <c r="S52" i="5"/>
  <c r="T52" i="5"/>
  <c r="U52" i="5"/>
  <c r="V52" i="5"/>
  <c r="W52" i="5"/>
  <c r="Y52" i="5"/>
  <c r="Z52" i="5"/>
  <c r="Z53" i="3"/>
  <c r="Y54" i="3"/>
  <c r="Y55" i="3"/>
  <c r="R62" i="3"/>
  <c r="Q65" i="3"/>
  <c r="D29" i="5"/>
  <c r="E29" i="5"/>
  <c r="D46" i="5"/>
  <c r="D51" i="5"/>
  <c r="D59" i="5"/>
  <c r="D35" i="5"/>
  <c r="D60" i="5"/>
  <c r="D28" i="2"/>
  <c r="D22" i="5"/>
  <c r="D55" i="5"/>
  <c r="D38" i="5"/>
  <c r="E62" i="5"/>
  <c r="E27" i="2"/>
  <c r="I58" i="5"/>
  <c r="I30" i="2"/>
  <c r="AB49" i="5"/>
  <c r="AC49" i="5"/>
  <c r="AD49" i="5"/>
  <c r="AE49" i="5"/>
  <c r="AF49" i="5"/>
  <c r="F16" i="5"/>
  <c r="F11" i="2"/>
  <c r="D18" i="2"/>
  <c r="X54" i="3"/>
  <c r="X55" i="3"/>
  <c r="G56" i="3"/>
  <c r="F58" i="3"/>
  <c r="K30" i="3"/>
  <c r="J32" i="3"/>
  <c r="C66" i="5"/>
  <c r="F11" i="3"/>
  <c r="F27" i="3"/>
  <c r="K19" i="3"/>
  <c r="J21" i="3"/>
  <c r="AB53" i="3"/>
  <c r="AB55" i="3"/>
  <c r="AA14" i="5"/>
  <c r="Z13" i="2"/>
  <c r="O12" i="5"/>
  <c r="N12" i="2"/>
  <c r="Z15" i="5"/>
  <c r="Y14" i="2"/>
  <c r="D26" i="2"/>
  <c r="G24" i="3"/>
  <c r="F54" i="5"/>
  <c r="E25" i="2"/>
  <c r="E55" i="5"/>
  <c r="E57" i="5"/>
  <c r="E29" i="2"/>
  <c r="D57" i="5"/>
  <c r="D29" i="2"/>
  <c r="E46" i="5"/>
  <c r="D53" i="5"/>
  <c r="D24" i="2"/>
  <c r="F43" i="5"/>
  <c r="E45" i="5"/>
  <c r="E38" i="5"/>
  <c r="E42" i="5"/>
  <c r="E22" i="2"/>
  <c r="D42" i="5"/>
  <c r="D22" i="2"/>
  <c r="E35" i="5"/>
  <c r="E37" i="5"/>
  <c r="E23" i="2"/>
  <c r="D37" i="5"/>
  <c r="D23" i="2"/>
  <c r="D34" i="5"/>
  <c r="D21" i="2"/>
  <c r="Z54" i="3"/>
  <c r="Z55" i="3"/>
  <c r="S62" i="3"/>
  <c r="R65" i="3"/>
  <c r="E60" i="5"/>
  <c r="E28" i="2"/>
  <c r="E51" i="5"/>
  <c r="E22" i="5"/>
  <c r="E59" i="5"/>
  <c r="J58" i="5"/>
  <c r="J30" i="2"/>
  <c r="G16" i="5"/>
  <c r="E18" i="2"/>
  <c r="F19" i="5"/>
  <c r="F29" i="5"/>
  <c r="F62" i="5"/>
  <c r="F27" i="2"/>
  <c r="H56" i="3"/>
  <c r="G58" i="3"/>
  <c r="L30" i="3"/>
  <c r="K32" i="3"/>
  <c r="L19" i="3"/>
  <c r="K21" i="3"/>
  <c r="AB14" i="5"/>
  <c r="AA13" i="2"/>
  <c r="P12" i="5"/>
  <c r="O12" i="2"/>
  <c r="H24" i="3"/>
  <c r="G19" i="5"/>
  <c r="G11" i="2"/>
  <c r="AA15" i="5"/>
  <c r="Z14" i="2"/>
  <c r="F55" i="5"/>
  <c r="F57" i="5"/>
  <c r="F29" i="2"/>
  <c r="F59" i="5"/>
  <c r="F26" i="2"/>
  <c r="E26" i="2"/>
  <c r="G54" i="5"/>
  <c r="F25" i="2"/>
  <c r="E53" i="5"/>
  <c r="E24" i="2"/>
  <c r="D64" i="5"/>
  <c r="F46" i="5"/>
  <c r="G46" i="5"/>
  <c r="F35" i="5"/>
  <c r="F37" i="5"/>
  <c r="F23" i="2"/>
  <c r="G43" i="5"/>
  <c r="F45" i="5"/>
  <c r="F38" i="5"/>
  <c r="F42" i="5"/>
  <c r="F22" i="2"/>
  <c r="E34" i="5"/>
  <c r="F60" i="5"/>
  <c r="AA54" i="3"/>
  <c r="T62" i="3"/>
  <c r="S65" i="3"/>
  <c r="F51" i="5"/>
  <c r="C34" i="2"/>
  <c r="F22" i="5"/>
  <c r="K58" i="5"/>
  <c r="K30" i="2"/>
  <c r="G38" i="5"/>
  <c r="G42" i="5"/>
  <c r="G22" i="2"/>
  <c r="F18" i="2"/>
  <c r="G29" i="5"/>
  <c r="G62" i="5"/>
  <c r="G27" i="2"/>
  <c r="I56" i="3"/>
  <c r="H58" i="3"/>
  <c r="M30" i="3"/>
  <c r="L32" i="3"/>
  <c r="M19" i="3"/>
  <c r="L21" i="3"/>
  <c r="AC54" i="3"/>
  <c r="AC55" i="3"/>
  <c r="AA55" i="3"/>
  <c r="AC14" i="5"/>
  <c r="AB13" i="2"/>
  <c r="I24" i="3"/>
  <c r="Q12" i="5"/>
  <c r="P12" i="2"/>
  <c r="AB15" i="5"/>
  <c r="AA14" i="2"/>
  <c r="G55" i="5"/>
  <c r="G57" i="5"/>
  <c r="G29" i="2"/>
  <c r="G60" i="5"/>
  <c r="G28" i="2"/>
  <c r="F28" i="2"/>
  <c r="G59" i="5"/>
  <c r="G26" i="2"/>
  <c r="E64" i="5"/>
  <c r="E21" i="2"/>
  <c r="H54" i="5"/>
  <c r="G25" i="2"/>
  <c r="F53" i="5"/>
  <c r="F24" i="2"/>
  <c r="G35" i="5"/>
  <c r="G37" i="5"/>
  <c r="G23" i="2"/>
  <c r="H43" i="5"/>
  <c r="G45" i="5"/>
  <c r="D32" i="2"/>
  <c r="D34" i="2"/>
  <c r="F34" i="5"/>
  <c r="G51" i="5"/>
  <c r="U62" i="3"/>
  <c r="T65" i="3"/>
  <c r="G22" i="5"/>
  <c r="L58" i="5"/>
  <c r="L30" i="2"/>
  <c r="H29" i="5"/>
  <c r="H62" i="5"/>
  <c r="H27" i="2"/>
  <c r="H46" i="5"/>
  <c r="G18" i="2"/>
  <c r="H38" i="5"/>
  <c r="H42" i="5"/>
  <c r="H22" i="2"/>
  <c r="J56" i="3"/>
  <c r="I58" i="3"/>
  <c r="N30" i="3"/>
  <c r="M32" i="3"/>
  <c r="N19" i="3"/>
  <c r="M21" i="3"/>
  <c r="AD14" i="5"/>
  <c r="AC13" i="2"/>
  <c r="R12" i="5"/>
  <c r="Q12" i="2"/>
  <c r="J24" i="3"/>
  <c r="AC15" i="5"/>
  <c r="AB14" i="2"/>
  <c r="H55" i="5"/>
  <c r="H57" i="5"/>
  <c r="H29" i="2"/>
  <c r="I54" i="5"/>
  <c r="H25" i="2"/>
  <c r="F64" i="5"/>
  <c r="F21" i="2"/>
  <c r="H35" i="5"/>
  <c r="H37" i="5"/>
  <c r="H23" i="2"/>
  <c r="G53" i="5"/>
  <c r="G24" i="2"/>
  <c r="I43" i="5"/>
  <c r="H45" i="5"/>
  <c r="E32" i="2"/>
  <c r="E34" i="2"/>
  <c r="H51" i="5"/>
  <c r="G34" i="5"/>
  <c r="G21" i="2"/>
  <c r="V62" i="3"/>
  <c r="U65" i="3"/>
  <c r="H22" i="5"/>
  <c r="I46" i="5"/>
  <c r="I29" i="5"/>
  <c r="M58" i="5"/>
  <c r="M30" i="2"/>
  <c r="I62" i="5"/>
  <c r="I27" i="2"/>
  <c r="I38" i="5"/>
  <c r="I42" i="5"/>
  <c r="I22" i="2"/>
  <c r="H13" i="5"/>
  <c r="H15" i="2"/>
  <c r="H18" i="2"/>
  <c r="K56" i="3"/>
  <c r="J58" i="3"/>
  <c r="O30" i="3"/>
  <c r="N32" i="3"/>
  <c r="O19" i="3"/>
  <c r="N21" i="3"/>
  <c r="AE14" i="5"/>
  <c r="AD13" i="2"/>
  <c r="S12" i="5"/>
  <c r="R12" i="2"/>
  <c r="I55" i="5"/>
  <c r="I57" i="5"/>
  <c r="I29" i="2"/>
  <c r="I35" i="5"/>
  <c r="I37" i="5"/>
  <c r="I23" i="2"/>
  <c r="AD15" i="5"/>
  <c r="AC14" i="2"/>
  <c r="J54" i="5"/>
  <c r="I25" i="2"/>
  <c r="H53" i="5"/>
  <c r="H24" i="2"/>
  <c r="G64" i="5"/>
  <c r="F32" i="2"/>
  <c r="F34" i="2"/>
  <c r="J43" i="5"/>
  <c r="I45" i="5"/>
  <c r="I51" i="5"/>
  <c r="I53" i="5"/>
  <c r="I24" i="2"/>
  <c r="G32" i="2"/>
  <c r="G34" i="2"/>
  <c r="H34" i="5"/>
  <c r="H19" i="5"/>
  <c r="K24" i="3"/>
  <c r="W62" i="3"/>
  <c r="V65" i="3"/>
  <c r="I22" i="5"/>
  <c r="N58" i="5"/>
  <c r="N30" i="2"/>
  <c r="I13" i="5"/>
  <c r="J62" i="5"/>
  <c r="J27" i="2"/>
  <c r="J55" i="5"/>
  <c r="J57" i="5"/>
  <c r="J29" i="2"/>
  <c r="J38" i="5"/>
  <c r="J42" i="5"/>
  <c r="J22" i="2"/>
  <c r="J29" i="5"/>
  <c r="J35" i="5"/>
  <c r="J37" i="5"/>
  <c r="J23" i="2"/>
  <c r="J59" i="5"/>
  <c r="J26" i="2"/>
  <c r="J60" i="5"/>
  <c r="J28" i="2"/>
  <c r="J46" i="5"/>
  <c r="K58" i="3"/>
  <c r="P30" i="3"/>
  <c r="O32" i="3"/>
  <c r="P19" i="3"/>
  <c r="O21" i="3"/>
  <c r="AF14" i="5"/>
  <c r="AF13" i="2"/>
  <c r="AE13" i="2"/>
  <c r="T12" i="5"/>
  <c r="S12" i="2"/>
  <c r="AE15" i="5"/>
  <c r="AD14" i="2"/>
  <c r="K54" i="5"/>
  <c r="J25" i="2"/>
  <c r="I19" i="5"/>
  <c r="I15" i="2"/>
  <c r="H64" i="5"/>
  <c r="H21" i="2"/>
  <c r="H32" i="2"/>
  <c r="H34" i="2"/>
  <c r="J51" i="5"/>
  <c r="J53" i="5"/>
  <c r="J24" i="2"/>
  <c r="K43" i="5"/>
  <c r="J45" i="5"/>
  <c r="I34" i="5"/>
  <c r="L24" i="3"/>
  <c r="X62" i="3"/>
  <c r="W65" i="3"/>
  <c r="J22" i="5"/>
  <c r="M60" i="5"/>
  <c r="M28" i="2"/>
  <c r="K55" i="5"/>
  <c r="K57" i="5"/>
  <c r="K29" i="2"/>
  <c r="K62" i="5"/>
  <c r="K27" i="2"/>
  <c r="O58" i="5"/>
  <c r="O30" i="2"/>
  <c r="K29" i="5"/>
  <c r="K38" i="5"/>
  <c r="K42" i="5"/>
  <c r="K22" i="2"/>
  <c r="K35" i="5"/>
  <c r="K37" i="5"/>
  <c r="K23" i="2"/>
  <c r="K46" i="5"/>
  <c r="L56" i="3"/>
  <c r="M44" i="3"/>
  <c r="Q30" i="3"/>
  <c r="P32" i="3"/>
  <c r="Q19" i="3"/>
  <c r="P21" i="3"/>
  <c r="U12" i="5"/>
  <c r="T12" i="2"/>
  <c r="AF15" i="5"/>
  <c r="AF14" i="2"/>
  <c r="AE14" i="2"/>
  <c r="L54" i="5"/>
  <c r="K25" i="2"/>
  <c r="I64" i="5"/>
  <c r="I21" i="2"/>
  <c r="K51" i="5"/>
  <c r="L51" i="5"/>
  <c r="L43" i="5"/>
  <c r="K45" i="5"/>
  <c r="J34" i="5"/>
  <c r="K22" i="5"/>
  <c r="L22" i="5"/>
  <c r="J13" i="5"/>
  <c r="Y62" i="3"/>
  <c r="X65" i="3"/>
  <c r="P58" i="5"/>
  <c r="P30" i="2"/>
  <c r="L35" i="5"/>
  <c r="L37" i="5"/>
  <c r="L23" i="2"/>
  <c r="L29" i="5"/>
  <c r="L38" i="5"/>
  <c r="L42" i="5"/>
  <c r="L22" i="2"/>
  <c r="L46" i="5"/>
  <c r="L55" i="5"/>
  <c r="L57" i="5"/>
  <c r="L29" i="2"/>
  <c r="L62" i="5"/>
  <c r="L27" i="2"/>
  <c r="N60" i="5"/>
  <c r="N28" i="2"/>
  <c r="R30" i="3"/>
  <c r="Q32" i="3"/>
  <c r="R19" i="3"/>
  <c r="Q21" i="3"/>
  <c r="V12" i="5"/>
  <c r="U12" i="2"/>
  <c r="K53" i="5"/>
  <c r="K24" i="2"/>
  <c r="M24" i="3"/>
  <c r="J15" i="2"/>
  <c r="J64" i="5"/>
  <c r="J21" i="2"/>
  <c r="J32" i="2"/>
  <c r="M54" i="5"/>
  <c r="L25" i="2"/>
  <c r="I32" i="2"/>
  <c r="L53" i="5"/>
  <c r="L24" i="2"/>
  <c r="M43" i="5"/>
  <c r="L45" i="5"/>
  <c r="L34" i="5"/>
  <c r="L21" i="2"/>
  <c r="K34" i="5"/>
  <c r="K13" i="5"/>
  <c r="Z62" i="3"/>
  <c r="Y65" i="3"/>
  <c r="L58" i="3"/>
  <c r="M29" i="5"/>
  <c r="M46" i="5"/>
  <c r="M35" i="5"/>
  <c r="M37" i="5"/>
  <c r="M23" i="2"/>
  <c r="M55" i="5"/>
  <c r="M57" i="5"/>
  <c r="M29" i="2"/>
  <c r="O60" i="5"/>
  <c r="O28" i="2"/>
  <c r="M51" i="5"/>
  <c r="M62" i="5"/>
  <c r="M27" i="2"/>
  <c r="M38" i="5"/>
  <c r="M42" i="5"/>
  <c r="M22" i="2"/>
  <c r="Q58" i="5"/>
  <c r="Q30" i="2"/>
  <c r="S30" i="3"/>
  <c r="R32" i="3"/>
  <c r="M22" i="5"/>
  <c r="S19" i="3"/>
  <c r="R21" i="3"/>
  <c r="W12" i="5"/>
  <c r="V12" i="2"/>
  <c r="N24" i="3"/>
  <c r="K15" i="2"/>
  <c r="K64" i="5"/>
  <c r="K21" i="2"/>
  <c r="K32" i="2"/>
  <c r="N54" i="5"/>
  <c r="M25" i="2"/>
  <c r="M53" i="5"/>
  <c r="M24" i="2"/>
  <c r="L64" i="5"/>
  <c r="N43" i="5"/>
  <c r="M45" i="5"/>
  <c r="M34" i="5"/>
  <c r="M56" i="3"/>
  <c r="N44" i="3"/>
  <c r="AA62" i="3"/>
  <c r="Z65" i="3"/>
  <c r="P60" i="5"/>
  <c r="P28" i="2"/>
  <c r="N46" i="5"/>
  <c r="N35" i="5"/>
  <c r="N37" i="5"/>
  <c r="N23" i="2"/>
  <c r="N51" i="5"/>
  <c r="N38" i="5"/>
  <c r="N42" i="5"/>
  <c r="N22" i="2"/>
  <c r="N62" i="5"/>
  <c r="N27" i="2"/>
  <c r="R58" i="5"/>
  <c r="R30" i="2"/>
  <c r="N55" i="5"/>
  <c r="N57" i="5"/>
  <c r="N29" i="2"/>
  <c r="N29" i="5"/>
  <c r="T30" i="3"/>
  <c r="S32" i="3"/>
  <c r="N22" i="5"/>
  <c r="T19" i="3"/>
  <c r="S21" i="3"/>
  <c r="X12" i="5"/>
  <c r="W12" i="2"/>
  <c r="N53" i="5"/>
  <c r="N24" i="2"/>
  <c r="O54" i="5"/>
  <c r="N25" i="2"/>
  <c r="M21" i="2"/>
  <c r="M64" i="5"/>
  <c r="O43" i="5"/>
  <c r="N45" i="5"/>
  <c r="N34" i="5"/>
  <c r="AB62" i="3"/>
  <c r="AA65" i="3"/>
  <c r="L32" i="2"/>
  <c r="S58" i="5"/>
  <c r="S30" i="2"/>
  <c r="O62" i="5"/>
  <c r="O27" i="2"/>
  <c r="O38" i="5"/>
  <c r="O42" i="5"/>
  <c r="O22" i="2"/>
  <c r="O55" i="5"/>
  <c r="O57" i="5"/>
  <c r="O29" i="2"/>
  <c r="O29" i="5"/>
  <c r="Q60" i="5"/>
  <c r="Q28" i="2"/>
  <c r="O51" i="5"/>
  <c r="O35" i="5"/>
  <c r="O37" i="5"/>
  <c r="O23" i="2"/>
  <c r="O46" i="5"/>
  <c r="O53" i="5"/>
  <c r="O24" i="2"/>
  <c r="U30" i="3"/>
  <c r="T32" i="3"/>
  <c r="O22" i="5"/>
  <c r="U19" i="3"/>
  <c r="T21" i="3"/>
  <c r="Y12" i="5"/>
  <c r="X12" i="2"/>
  <c r="N21" i="2"/>
  <c r="P54" i="5"/>
  <c r="O25" i="2"/>
  <c r="N64" i="5"/>
  <c r="P43" i="5"/>
  <c r="O45" i="5"/>
  <c r="O34" i="5"/>
  <c r="O21" i="2"/>
  <c r="AC62" i="3"/>
  <c r="AB65" i="3"/>
  <c r="M58" i="3"/>
  <c r="M32" i="2"/>
  <c r="P46" i="5"/>
  <c r="R60" i="5"/>
  <c r="R28" i="2"/>
  <c r="P38" i="5"/>
  <c r="P42" i="5"/>
  <c r="P22" i="2"/>
  <c r="P35" i="5"/>
  <c r="P37" i="5"/>
  <c r="P23" i="2"/>
  <c r="P62" i="5"/>
  <c r="P27" i="2"/>
  <c r="P29" i="5"/>
  <c r="P55" i="5"/>
  <c r="P57" i="5"/>
  <c r="P29" i="2"/>
  <c r="P51" i="5"/>
  <c r="T58" i="5"/>
  <c r="T30" i="2"/>
  <c r="V30" i="3"/>
  <c r="U32" i="3"/>
  <c r="P22" i="5"/>
  <c r="V19" i="3"/>
  <c r="U21" i="3"/>
  <c r="Z12" i="5"/>
  <c r="Y12" i="2"/>
  <c r="Q54" i="5"/>
  <c r="P25" i="2"/>
  <c r="O64" i="5"/>
  <c r="P53" i="5"/>
  <c r="P24" i="2"/>
  <c r="Q43" i="5"/>
  <c r="P45" i="5"/>
  <c r="P34" i="5"/>
  <c r="AD62" i="3"/>
  <c r="AC65" i="3"/>
  <c r="N32" i="2"/>
  <c r="Q55" i="5"/>
  <c r="Q57" i="5"/>
  <c r="Q29" i="2"/>
  <c r="Q38" i="5"/>
  <c r="Q42" i="5"/>
  <c r="Q22" i="2"/>
  <c r="S60" i="5"/>
  <c r="S28" i="2"/>
  <c r="Q35" i="5"/>
  <c r="Q37" i="5"/>
  <c r="Q23" i="2"/>
  <c r="U58" i="5"/>
  <c r="U30" i="2"/>
  <c r="Q29" i="5"/>
  <c r="Q51" i="5"/>
  <c r="Q62" i="5"/>
  <c r="Q27" i="2"/>
  <c r="Q46" i="5"/>
  <c r="N56" i="3"/>
  <c r="W30" i="3"/>
  <c r="V32" i="3"/>
  <c r="Q22" i="5"/>
  <c r="W19" i="3"/>
  <c r="V21" i="3"/>
  <c r="AA12" i="5"/>
  <c r="Z12" i="2"/>
  <c r="P21" i="2"/>
  <c r="R54" i="5"/>
  <c r="Q25" i="2"/>
  <c r="P64" i="5"/>
  <c r="Q53" i="5"/>
  <c r="Q24" i="2"/>
  <c r="R43" i="5"/>
  <c r="Q45" i="5"/>
  <c r="Q34" i="5"/>
  <c r="N58" i="3"/>
  <c r="O44" i="3"/>
  <c r="AE62" i="3"/>
  <c r="AD65" i="3"/>
  <c r="R46" i="5"/>
  <c r="T60" i="5"/>
  <c r="T28" i="2"/>
  <c r="R29" i="5"/>
  <c r="O32" i="2"/>
  <c r="R38" i="5"/>
  <c r="R42" i="5"/>
  <c r="R22" i="2"/>
  <c r="R35" i="5"/>
  <c r="R37" i="5"/>
  <c r="R23" i="2"/>
  <c r="R51" i="5"/>
  <c r="R62" i="5"/>
  <c r="R27" i="2"/>
  <c r="V58" i="5"/>
  <c r="V30" i="2"/>
  <c r="R55" i="5"/>
  <c r="R57" i="5"/>
  <c r="R29" i="2"/>
  <c r="X30" i="3"/>
  <c r="W32" i="3"/>
  <c r="R22" i="5"/>
  <c r="X19" i="3"/>
  <c r="W21" i="3"/>
  <c r="AB12" i="5"/>
  <c r="AA12" i="2"/>
  <c r="Q21" i="2"/>
  <c r="S54" i="5"/>
  <c r="R25" i="2"/>
  <c r="Q64" i="5"/>
  <c r="R53" i="5"/>
  <c r="R24" i="2"/>
  <c r="S43" i="5"/>
  <c r="R45" i="5"/>
  <c r="R34" i="5"/>
  <c r="R21" i="2"/>
  <c r="AF62" i="3"/>
  <c r="AE65" i="3"/>
  <c r="P32" i="2"/>
  <c r="S29" i="5"/>
  <c r="S51" i="5"/>
  <c r="S55" i="5"/>
  <c r="S57" i="5"/>
  <c r="S29" i="2"/>
  <c r="U60" i="5"/>
  <c r="U28" i="2"/>
  <c r="S38" i="5"/>
  <c r="S42" i="5"/>
  <c r="S22" i="2"/>
  <c r="S46" i="5"/>
  <c r="S35" i="5"/>
  <c r="S37" i="5"/>
  <c r="S23" i="2"/>
  <c r="W58" i="5"/>
  <c r="W30" i="2"/>
  <c r="S62" i="5"/>
  <c r="S27" i="2"/>
  <c r="O56" i="3"/>
  <c r="P44" i="3"/>
  <c r="Y30" i="3"/>
  <c r="X32" i="3"/>
  <c r="S22" i="5"/>
  <c r="Y19" i="3"/>
  <c r="X21" i="3"/>
  <c r="AC12" i="5"/>
  <c r="AB12" i="2"/>
  <c r="T54" i="5"/>
  <c r="S25" i="2"/>
  <c r="S53" i="5"/>
  <c r="S24" i="2"/>
  <c r="R64" i="5"/>
  <c r="T43" i="5"/>
  <c r="S45" i="5"/>
  <c r="S34" i="5"/>
  <c r="AG62" i="3"/>
  <c r="AF65" i="3"/>
  <c r="Q32" i="2"/>
  <c r="T35" i="5"/>
  <c r="T37" i="5"/>
  <c r="T23" i="2"/>
  <c r="V60" i="5"/>
  <c r="V28" i="2"/>
  <c r="T55" i="5"/>
  <c r="T57" i="5"/>
  <c r="T29" i="2"/>
  <c r="T46" i="5"/>
  <c r="T62" i="5"/>
  <c r="T27" i="2"/>
  <c r="X58" i="5"/>
  <c r="X30" i="2"/>
  <c r="T51" i="5"/>
  <c r="T38" i="5"/>
  <c r="T42" i="5"/>
  <c r="T22" i="2"/>
  <c r="T29" i="5"/>
  <c r="Z30" i="3"/>
  <c r="Y32" i="3"/>
  <c r="T22" i="5"/>
  <c r="Z19" i="3"/>
  <c r="Y21" i="3"/>
  <c r="AD12" i="5"/>
  <c r="AC12" i="2"/>
  <c r="T53" i="5"/>
  <c r="T24" i="2"/>
  <c r="S21" i="2"/>
  <c r="U54" i="5"/>
  <c r="T25" i="2"/>
  <c r="S64" i="5"/>
  <c r="U43" i="5"/>
  <c r="T45" i="5"/>
  <c r="T34" i="5"/>
  <c r="AH62" i="3"/>
  <c r="AG65" i="3"/>
  <c r="O58" i="3"/>
  <c r="R32" i="2"/>
  <c r="U51" i="5"/>
  <c r="U46" i="5"/>
  <c r="Y58" i="5"/>
  <c r="Y30" i="2"/>
  <c r="U29" i="5"/>
  <c r="U62" i="5"/>
  <c r="U27" i="2"/>
  <c r="U38" i="5"/>
  <c r="U42" i="5"/>
  <c r="U22" i="2"/>
  <c r="U55" i="5"/>
  <c r="U57" i="5"/>
  <c r="U29" i="2"/>
  <c r="W60" i="5"/>
  <c r="W28" i="2"/>
  <c r="U35" i="5"/>
  <c r="U37" i="5"/>
  <c r="U23" i="2"/>
  <c r="AA30" i="3"/>
  <c r="Z32" i="3"/>
  <c r="U22" i="5"/>
  <c r="T21" i="2"/>
  <c r="AA19" i="3"/>
  <c r="Z21" i="3"/>
  <c r="AE12" i="5"/>
  <c r="AD12" i="2"/>
  <c r="U53" i="5"/>
  <c r="U24" i="2"/>
  <c r="V54" i="5"/>
  <c r="U25" i="2"/>
  <c r="T64" i="5"/>
  <c r="V43" i="5"/>
  <c r="U45" i="5"/>
  <c r="U34" i="5"/>
  <c r="AH65" i="3"/>
  <c r="S32" i="2"/>
  <c r="X60" i="5"/>
  <c r="X28" i="2"/>
  <c r="V55" i="5"/>
  <c r="V57" i="5"/>
  <c r="V29" i="2"/>
  <c r="V38" i="5"/>
  <c r="V42" i="5"/>
  <c r="V22" i="2"/>
  <c r="V62" i="5"/>
  <c r="V27" i="2"/>
  <c r="V29" i="5"/>
  <c r="Z58" i="5"/>
  <c r="Z30" i="2"/>
  <c r="V46" i="5"/>
  <c r="V35" i="5"/>
  <c r="V37" i="5"/>
  <c r="V23" i="2"/>
  <c r="V51" i="5"/>
  <c r="P56" i="3"/>
  <c r="Q44" i="3"/>
  <c r="AB30" i="3"/>
  <c r="AA32" i="3"/>
  <c r="V22" i="5"/>
  <c r="W22" i="5"/>
  <c r="AB19" i="3"/>
  <c r="AA21" i="3"/>
  <c r="AF12" i="5"/>
  <c r="AF12" i="2"/>
  <c r="AE12" i="2"/>
  <c r="U21" i="2"/>
  <c r="W54" i="5"/>
  <c r="V25" i="2"/>
  <c r="U64" i="5"/>
  <c r="V53" i="5"/>
  <c r="V24" i="2"/>
  <c r="W43" i="5"/>
  <c r="V45" i="5"/>
  <c r="V34" i="5"/>
  <c r="V21" i="2"/>
  <c r="T32" i="2"/>
  <c r="W46" i="5"/>
  <c r="W35" i="5"/>
  <c r="W37" i="5"/>
  <c r="W23" i="2"/>
  <c r="W38" i="5"/>
  <c r="W42" i="5"/>
  <c r="W22" i="2"/>
  <c r="W55" i="5"/>
  <c r="W57" i="5"/>
  <c r="W29" i="2"/>
  <c r="AA58" i="5"/>
  <c r="AA30" i="2"/>
  <c r="W51" i="5"/>
  <c r="W29" i="5"/>
  <c r="W62" i="5"/>
  <c r="W27" i="2"/>
  <c r="Y60" i="5"/>
  <c r="Y28" i="2"/>
  <c r="AC30" i="3"/>
  <c r="AB32" i="3"/>
  <c r="AC19" i="3"/>
  <c r="AB21" i="3"/>
  <c r="Y54" i="5"/>
  <c r="W25" i="2"/>
  <c r="V64" i="5"/>
  <c r="W53" i="5"/>
  <c r="W24" i="2"/>
  <c r="X43" i="5"/>
  <c r="W45" i="5"/>
  <c r="W34" i="5"/>
  <c r="P58" i="3"/>
  <c r="U32" i="2"/>
  <c r="X62" i="5"/>
  <c r="X27" i="2"/>
  <c r="X29" i="5"/>
  <c r="X38" i="5"/>
  <c r="X42" i="5"/>
  <c r="X22" i="2"/>
  <c r="X35" i="5"/>
  <c r="X37" i="5"/>
  <c r="X23" i="2"/>
  <c r="X55" i="5"/>
  <c r="X57" i="5"/>
  <c r="X29" i="2"/>
  <c r="AB58" i="5"/>
  <c r="AB30" i="2"/>
  <c r="Z60" i="5"/>
  <c r="Z28" i="2"/>
  <c r="X53" i="5"/>
  <c r="X24" i="2"/>
  <c r="AD30" i="3"/>
  <c r="AC32" i="3"/>
  <c r="X22" i="5"/>
  <c r="AD19" i="3"/>
  <c r="AC21" i="3"/>
  <c r="W21" i="2"/>
  <c r="Z54" i="5"/>
  <c r="Y25" i="2"/>
  <c r="W64" i="5"/>
  <c r="Y43" i="5"/>
  <c r="X45" i="5"/>
  <c r="X34" i="5"/>
  <c r="X21" i="2"/>
  <c r="V32" i="2"/>
  <c r="Y51" i="5"/>
  <c r="AC58" i="5"/>
  <c r="AC30" i="2"/>
  <c r="Y29" i="5"/>
  <c r="Y46" i="5"/>
  <c r="Y55" i="5"/>
  <c r="Y57" i="5"/>
  <c r="Y29" i="2"/>
  <c r="AA60" i="5"/>
  <c r="AA28" i="2"/>
  <c r="Y35" i="5"/>
  <c r="Y37" i="5"/>
  <c r="Y23" i="2"/>
  <c r="Y38" i="5"/>
  <c r="Y42" i="5"/>
  <c r="Y22" i="2"/>
  <c r="Y62" i="5"/>
  <c r="Y27" i="2"/>
  <c r="Q56" i="3"/>
  <c r="R44" i="3"/>
  <c r="AE30" i="3"/>
  <c r="AD32" i="3"/>
  <c r="Y22" i="5"/>
  <c r="AE19" i="3"/>
  <c r="AD21" i="3"/>
  <c r="Z25" i="2"/>
  <c r="AA54" i="5"/>
  <c r="X64" i="5"/>
  <c r="Y53" i="5"/>
  <c r="Y24" i="2"/>
  <c r="Z43" i="5"/>
  <c r="Y45" i="5"/>
  <c r="Y34" i="5"/>
  <c r="Y21" i="2"/>
  <c r="W32" i="2"/>
  <c r="Z46" i="5"/>
  <c r="Z38" i="5"/>
  <c r="Z42" i="5"/>
  <c r="Z22" i="2"/>
  <c r="AD58" i="5"/>
  <c r="AD30" i="2"/>
  <c r="AB60" i="5"/>
  <c r="AB28" i="2"/>
  <c r="Z62" i="5"/>
  <c r="Z27" i="2"/>
  <c r="Z55" i="5"/>
  <c r="Z57" i="5"/>
  <c r="Z29" i="2"/>
  <c r="Z35" i="5"/>
  <c r="Z37" i="5"/>
  <c r="Z23" i="2"/>
  <c r="Z29" i="5"/>
  <c r="Z51" i="5"/>
  <c r="AF30" i="3"/>
  <c r="AE32" i="3"/>
  <c r="Z22" i="5"/>
  <c r="AF19" i="3"/>
  <c r="AE21" i="3"/>
  <c r="AB54" i="5"/>
  <c r="AA25" i="2"/>
  <c r="Y64" i="5"/>
  <c r="Z53" i="5"/>
  <c r="Z24" i="2"/>
  <c r="AA43" i="5"/>
  <c r="Z45" i="5"/>
  <c r="Z34" i="5"/>
  <c r="Z21" i="2"/>
  <c r="Q58" i="3"/>
  <c r="X32" i="2"/>
  <c r="AE58" i="5"/>
  <c r="AE30" i="2"/>
  <c r="AA38" i="5"/>
  <c r="AA42" i="5"/>
  <c r="AA22" i="2"/>
  <c r="AA29" i="5"/>
  <c r="AC60" i="5"/>
  <c r="AC28" i="2"/>
  <c r="AA35" i="5"/>
  <c r="AA37" i="5"/>
  <c r="AA23" i="2"/>
  <c r="AA55" i="5"/>
  <c r="AA57" i="5"/>
  <c r="AA29" i="2"/>
  <c r="AA62" i="5"/>
  <c r="AA27" i="2"/>
  <c r="AB46" i="5"/>
  <c r="AB53" i="5"/>
  <c r="AB24" i="2"/>
  <c r="AG30" i="3"/>
  <c r="AF32" i="3"/>
  <c r="AA22" i="5"/>
  <c r="AG19" i="3"/>
  <c r="AF21" i="3"/>
  <c r="AC54" i="5"/>
  <c r="AB25" i="2"/>
  <c r="Z64" i="5"/>
  <c r="AB43" i="5"/>
  <c r="AA45" i="5"/>
  <c r="AA34" i="5"/>
  <c r="Y32" i="2"/>
  <c r="AD60" i="5"/>
  <c r="AD28" i="2"/>
  <c r="AB62" i="5"/>
  <c r="AB27" i="2"/>
  <c r="AB38" i="5"/>
  <c r="AB42" i="5"/>
  <c r="AB22" i="2"/>
  <c r="AB35" i="5"/>
  <c r="AB37" i="5"/>
  <c r="AB23" i="2"/>
  <c r="AC46" i="5"/>
  <c r="AC53" i="5"/>
  <c r="AC24" i="2"/>
  <c r="AB29" i="5"/>
  <c r="AB55" i="5"/>
  <c r="AB57" i="5"/>
  <c r="AB29" i="2"/>
  <c r="AF58" i="5"/>
  <c r="AF30" i="2"/>
  <c r="R56" i="3"/>
  <c r="S44" i="3"/>
  <c r="AH30" i="3"/>
  <c r="AG32" i="3"/>
  <c r="AB22" i="5"/>
  <c r="AH19" i="3"/>
  <c r="AH21" i="3"/>
  <c r="AG21" i="3"/>
  <c r="AA21" i="2"/>
  <c r="AD54" i="5"/>
  <c r="AC25" i="2"/>
  <c r="AA64" i="5"/>
  <c r="AC43" i="5"/>
  <c r="AB45" i="5"/>
  <c r="AB34" i="5"/>
  <c r="AB21" i="2"/>
  <c r="Z32" i="2"/>
  <c r="AC38" i="5"/>
  <c r="AC42" i="5"/>
  <c r="AC22" i="2"/>
  <c r="AC62" i="5"/>
  <c r="AC27" i="2"/>
  <c r="AC55" i="5"/>
  <c r="AC57" i="5"/>
  <c r="AC29" i="2"/>
  <c r="AC29" i="5"/>
  <c r="AD46" i="5"/>
  <c r="AD53" i="5"/>
  <c r="AD24" i="2"/>
  <c r="AC35" i="5"/>
  <c r="AC37" i="5"/>
  <c r="AC23" i="2"/>
  <c r="AE60" i="5"/>
  <c r="AE28" i="2"/>
  <c r="AH32" i="3"/>
  <c r="AC22" i="5"/>
  <c r="AE54" i="5"/>
  <c r="AD25" i="2"/>
  <c r="AB64" i="5"/>
  <c r="AD43" i="5"/>
  <c r="AC45" i="5"/>
  <c r="AC34" i="5"/>
  <c r="R58" i="3"/>
  <c r="AA32" i="2"/>
  <c r="AD35" i="5"/>
  <c r="AD37" i="5"/>
  <c r="AD23" i="2"/>
  <c r="AF60" i="5"/>
  <c r="AF28" i="2"/>
  <c r="AD55" i="5"/>
  <c r="AD57" i="5"/>
  <c r="AD29" i="2"/>
  <c r="AD62" i="5"/>
  <c r="AD27" i="2"/>
  <c r="AE46" i="5"/>
  <c r="AE53" i="5"/>
  <c r="AE24" i="2"/>
  <c r="AD38" i="5"/>
  <c r="AD42" i="5"/>
  <c r="AD22" i="2"/>
  <c r="AD29" i="5"/>
  <c r="AD22" i="5"/>
  <c r="AC21" i="2"/>
  <c r="AF54" i="5"/>
  <c r="AF25" i="2"/>
  <c r="AE25" i="2"/>
  <c r="AC64" i="5"/>
  <c r="AE43" i="5"/>
  <c r="AD45" i="5"/>
  <c r="AD34" i="5"/>
  <c r="AB32" i="2"/>
  <c r="AE29" i="5"/>
  <c r="AE55" i="5"/>
  <c r="AE57" i="5"/>
  <c r="AE29" i="2"/>
  <c r="AE38" i="5"/>
  <c r="AE42" i="5"/>
  <c r="AE22" i="2"/>
  <c r="AF46" i="5"/>
  <c r="AF53" i="5"/>
  <c r="AF24" i="2"/>
  <c r="AE35" i="5"/>
  <c r="AE37" i="5"/>
  <c r="AE23" i="2"/>
  <c r="AE62" i="5"/>
  <c r="AE27" i="2"/>
  <c r="S56" i="3"/>
  <c r="T44" i="3"/>
  <c r="AE22" i="5"/>
  <c r="AD21" i="2"/>
  <c r="AD64" i="5"/>
  <c r="AF43" i="5"/>
  <c r="AF45" i="5"/>
  <c r="AE45" i="5"/>
  <c r="AE34" i="5"/>
  <c r="AC32" i="2"/>
  <c r="AF55" i="5"/>
  <c r="AF57" i="5"/>
  <c r="AF29" i="2"/>
  <c r="AF29" i="5"/>
  <c r="AF35" i="5"/>
  <c r="AF37" i="5"/>
  <c r="AF23" i="2"/>
  <c r="AF38" i="5"/>
  <c r="AF42" i="5"/>
  <c r="AF22" i="2"/>
  <c r="AF62" i="5"/>
  <c r="AF27" i="2"/>
  <c r="AF22" i="5"/>
  <c r="AE21" i="2"/>
  <c r="AE64" i="5"/>
  <c r="AF34" i="5"/>
  <c r="S58" i="3"/>
  <c r="AD32" i="2"/>
  <c r="AF64" i="5"/>
  <c r="AF21" i="2"/>
  <c r="AE32" i="2"/>
  <c r="T56" i="3"/>
  <c r="U44" i="3"/>
  <c r="AF32" i="2"/>
  <c r="T58" i="3"/>
  <c r="U56" i="3"/>
  <c r="V44" i="3"/>
  <c r="L13" i="5"/>
  <c r="O24" i="3"/>
  <c r="L15" i="2"/>
  <c r="U58" i="3"/>
  <c r="M13" i="5"/>
  <c r="P24" i="3"/>
  <c r="M15" i="2"/>
  <c r="V56" i="3"/>
  <c r="W44" i="3"/>
  <c r="N13" i="5"/>
  <c r="Q24" i="3"/>
  <c r="N15" i="2"/>
  <c r="V58" i="3"/>
  <c r="W56" i="3"/>
  <c r="X44" i="3"/>
  <c r="O13" i="5"/>
  <c r="R24" i="3"/>
  <c r="O15" i="2"/>
  <c r="W58" i="3"/>
  <c r="X56" i="3"/>
  <c r="Y44" i="3"/>
  <c r="P13" i="5"/>
  <c r="S24" i="3"/>
  <c r="P15" i="2"/>
  <c r="Q13" i="5"/>
  <c r="X58" i="3"/>
  <c r="T24" i="3"/>
  <c r="Q15" i="2"/>
  <c r="R13" i="5"/>
  <c r="Y56" i="3"/>
  <c r="Z44" i="3"/>
  <c r="U24" i="3"/>
  <c r="R15" i="2"/>
  <c r="S13" i="5"/>
  <c r="V24" i="3"/>
  <c r="S15" i="2"/>
  <c r="T13" i="5"/>
  <c r="Y58" i="3"/>
  <c r="W24" i="3"/>
  <c r="T15" i="2"/>
  <c r="U13" i="5"/>
  <c r="Z56" i="3"/>
  <c r="AA44" i="3"/>
  <c r="X24" i="3"/>
  <c r="U15" i="2"/>
  <c r="V13" i="5"/>
  <c r="Z58" i="3"/>
  <c r="Y24" i="3"/>
  <c r="V15" i="2"/>
  <c r="W13" i="5"/>
  <c r="AA56" i="3"/>
  <c r="AB44" i="3"/>
  <c r="Z24" i="3"/>
  <c r="W15" i="2"/>
  <c r="X13" i="5"/>
  <c r="AA24" i="3"/>
  <c r="X15" i="2"/>
  <c r="AA58" i="3"/>
  <c r="Y13" i="5"/>
  <c r="AB56" i="3"/>
  <c r="AC44" i="3"/>
  <c r="AB24" i="3"/>
  <c r="Y15" i="2"/>
  <c r="Z13" i="5"/>
  <c r="AB58" i="3"/>
  <c r="AC24" i="3"/>
  <c r="Z15" i="2"/>
  <c r="AA13" i="5"/>
  <c r="AC56" i="3"/>
  <c r="AD24" i="3"/>
  <c r="AA15" i="2"/>
  <c r="AC58" i="3"/>
  <c r="AB13" i="5"/>
  <c r="AE24" i="3"/>
  <c r="AB15" i="2"/>
  <c r="AD56" i="3"/>
  <c r="AE44" i="3"/>
  <c r="AD58" i="3"/>
  <c r="AC13" i="5"/>
  <c r="AF24" i="3"/>
  <c r="AC15" i="2"/>
  <c r="AE56" i="3"/>
  <c r="AF44" i="3"/>
  <c r="AD13" i="5"/>
  <c r="AE58" i="3"/>
  <c r="AG24" i="3"/>
  <c r="AD15" i="2"/>
  <c r="AF56" i="3"/>
  <c r="AG44" i="3"/>
  <c r="AE13" i="5"/>
  <c r="AF58" i="3"/>
  <c r="AH24" i="3"/>
  <c r="AE15" i="2"/>
  <c r="AG56" i="3"/>
  <c r="AH44" i="3"/>
  <c r="AF13" i="5"/>
  <c r="AF15" i="2"/>
  <c r="AG58" i="3"/>
  <c r="AH56" i="3"/>
  <c r="AH58" i="3"/>
  <c r="D66" i="5"/>
  <c r="G11" i="3"/>
  <c r="G27" i="3"/>
  <c r="E66" i="5"/>
  <c r="F67" i="3"/>
  <c r="E67" i="3"/>
  <c r="E69" i="3"/>
  <c r="E60" i="3"/>
  <c r="H11" i="3"/>
  <c r="H27" i="3"/>
  <c r="F66" i="5"/>
  <c r="G67" i="3"/>
  <c r="G66" i="5"/>
  <c r="I11" i="3"/>
  <c r="H67" i="3"/>
  <c r="F34" i="3"/>
  <c r="F60" i="3"/>
  <c r="F69" i="3"/>
  <c r="J11" i="3"/>
  <c r="J27" i="3"/>
  <c r="I27" i="3"/>
  <c r="G34" i="3"/>
  <c r="G60" i="3"/>
  <c r="G69" i="3"/>
  <c r="I66" i="5"/>
  <c r="H66" i="5"/>
  <c r="I67" i="3"/>
  <c r="K11" i="3"/>
  <c r="J67" i="3"/>
  <c r="H34" i="3"/>
  <c r="H60" i="3"/>
  <c r="H69" i="3"/>
  <c r="L11" i="3"/>
  <c r="L27" i="3"/>
  <c r="K27" i="3"/>
  <c r="I34" i="3"/>
  <c r="I60" i="3"/>
  <c r="I69" i="3"/>
  <c r="J34" i="3"/>
  <c r="J60" i="3"/>
  <c r="J69" i="3"/>
  <c r="I18" i="2"/>
  <c r="I34" i="2"/>
  <c r="J19" i="5"/>
  <c r="J66" i="5"/>
  <c r="M11" i="3"/>
  <c r="M27" i="3"/>
  <c r="K34" i="3"/>
  <c r="K60" i="3"/>
  <c r="K67" i="3"/>
  <c r="K69" i="3"/>
  <c r="Q18" i="2"/>
  <c r="Q34" i="2"/>
  <c r="L18" i="2"/>
  <c r="L34" i="2"/>
  <c r="O18" i="2"/>
  <c r="O34" i="2"/>
  <c r="J18" i="2"/>
  <c r="J34" i="2"/>
  <c r="K18" i="2"/>
  <c r="K34" i="2"/>
  <c r="N18" i="2"/>
  <c r="N34" i="2"/>
  <c r="P18" i="2"/>
  <c r="P34" i="2"/>
  <c r="U19" i="5"/>
  <c r="U66" i="5"/>
  <c r="R18" i="2"/>
  <c r="R34" i="2"/>
  <c r="Q19" i="5"/>
  <c r="Q66" i="5"/>
  <c r="T18" i="2"/>
  <c r="T34" i="2"/>
  <c r="M19" i="5"/>
  <c r="M66" i="5"/>
  <c r="S18" i="2"/>
  <c r="S34" i="2"/>
  <c r="L19" i="5"/>
  <c r="L66" i="5"/>
  <c r="N19" i="5"/>
  <c r="N66" i="5"/>
  <c r="T19" i="5"/>
  <c r="T66" i="5"/>
  <c r="R19" i="5"/>
  <c r="R66" i="5"/>
  <c r="S19" i="5"/>
  <c r="S66" i="5"/>
  <c r="O19" i="5"/>
  <c r="O66" i="5"/>
  <c r="P19" i="5"/>
  <c r="P66" i="5"/>
  <c r="V19" i="5"/>
  <c r="V66" i="5"/>
  <c r="V18" i="2"/>
  <c r="V34" i="2"/>
  <c r="M18" i="2"/>
  <c r="M34" i="2"/>
  <c r="K19" i="5"/>
  <c r="K66" i="5"/>
  <c r="N11" i="3"/>
  <c r="N27" i="3"/>
  <c r="O11" i="3"/>
  <c r="W19" i="5"/>
  <c r="W66" i="5"/>
  <c r="U18" i="2"/>
  <c r="U34" i="2"/>
  <c r="P11" i="3"/>
  <c r="O27" i="3"/>
  <c r="L34" i="3"/>
  <c r="L67" i="3"/>
  <c r="L69" i="3"/>
  <c r="L60" i="3"/>
  <c r="X19" i="5"/>
  <c r="X66" i="5"/>
  <c r="W18" i="2"/>
  <c r="W34" i="2"/>
  <c r="Q11" i="3"/>
  <c r="P27" i="3"/>
  <c r="M67" i="3"/>
  <c r="M69" i="3"/>
  <c r="M34" i="3"/>
  <c r="M60" i="3"/>
  <c r="X18" i="2"/>
  <c r="X34" i="2"/>
  <c r="Y19" i="5"/>
  <c r="Y66" i="5"/>
  <c r="R11" i="3"/>
  <c r="Q27" i="3"/>
  <c r="Y18" i="2"/>
  <c r="Y34" i="2"/>
  <c r="Z19" i="5"/>
  <c r="Z66" i="5"/>
  <c r="N60" i="3"/>
  <c r="N67" i="3"/>
  <c r="N69" i="3"/>
  <c r="N34" i="3"/>
  <c r="S11" i="3"/>
  <c r="R27" i="3"/>
  <c r="Z18" i="2"/>
  <c r="Z34" i="2"/>
  <c r="AA19" i="5"/>
  <c r="AA66" i="5"/>
  <c r="O67" i="3"/>
  <c r="O69" i="3"/>
  <c r="O60" i="3"/>
  <c r="O34" i="3"/>
  <c r="T11" i="3"/>
  <c r="S27" i="3"/>
  <c r="AB19" i="5"/>
  <c r="AB66" i="5"/>
  <c r="AA18" i="2"/>
  <c r="AA34" i="2"/>
  <c r="P60" i="3"/>
  <c r="P34" i="3"/>
  <c r="P67" i="3"/>
  <c r="P69" i="3"/>
  <c r="U11" i="3"/>
  <c r="T27" i="3"/>
  <c r="AC19" i="5"/>
  <c r="AC66" i="5"/>
  <c r="AB18" i="2"/>
  <c r="AB34" i="2"/>
  <c r="Q67" i="3"/>
  <c r="Q69" i="3"/>
  <c r="Q34" i="3"/>
  <c r="Q60" i="3"/>
  <c r="V11" i="3"/>
  <c r="U27" i="3"/>
  <c r="AC18" i="2"/>
  <c r="AC34" i="2"/>
  <c r="AD19" i="5"/>
  <c r="AD66" i="5"/>
  <c r="R34" i="3"/>
  <c r="R67" i="3"/>
  <c r="R69" i="3"/>
  <c r="R60" i="3"/>
  <c r="W11" i="3"/>
  <c r="V27" i="3"/>
  <c r="AE19" i="5"/>
  <c r="AE66" i="5"/>
  <c r="AD18" i="2"/>
  <c r="AD34" i="2"/>
  <c r="S34" i="3"/>
  <c r="S67" i="3"/>
  <c r="S69" i="3"/>
  <c r="S60" i="3"/>
  <c r="X11" i="3"/>
  <c r="W27" i="3"/>
  <c r="T67" i="3"/>
  <c r="T69" i="3"/>
  <c r="T34" i="3"/>
  <c r="T60" i="3"/>
  <c r="AF19" i="5"/>
  <c r="AF66" i="5"/>
  <c r="AE18" i="2"/>
  <c r="AE34" i="2"/>
  <c r="Y11" i="3"/>
  <c r="X27" i="3"/>
  <c r="AF18" i="2"/>
  <c r="AF34" i="2"/>
  <c r="U60" i="3"/>
  <c r="U34" i="3"/>
  <c r="U67" i="3"/>
  <c r="U69" i="3"/>
  <c r="Y27" i="3"/>
  <c r="Z11" i="3"/>
  <c r="V34" i="3"/>
  <c r="V67" i="3"/>
  <c r="V69" i="3"/>
  <c r="V60" i="3"/>
  <c r="Z27" i="3"/>
  <c r="AA11" i="3"/>
  <c r="W60" i="3"/>
  <c r="W67" i="3"/>
  <c r="W69" i="3"/>
  <c r="W34" i="3"/>
  <c r="AA27" i="3"/>
  <c r="AB11" i="3"/>
  <c r="X60" i="3"/>
  <c r="X67" i="3"/>
  <c r="X69" i="3"/>
  <c r="X34" i="3"/>
  <c r="AB27" i="3"/>
  <c r="AC11" i="3"/>
  <c r="Y60" i="3"/>
  <c r="Y34" i="3"/>
  <c r="Y67" i="3"/>
  <c r="Y69" i="3"/>
  <c r="AC27" i="3"/>
  <c r="AD11" i="3"/>
  <c r="Z60" i="3"/>
  <c r="Z67" i="3"/>
  <c r="Z69" i="3"/>
  <c r="Z34" i="3"/>
  <c r="AD27" i="3"/>
  <c r="AE11" i="3"/>
  <c r="AA34" i="3"/>
  <c r="AA60" i="3"/>
  <c r="AA67" i="3"/>
  <c r="AA69" i="3"/>
  <c r="AE27" i="3"/>
  <c r="AF11" i="3"/>
  <c r="AB34" i="3"/>
  <c r="AB60" i="3"/>
  <c r="AB67" i="3"/>
  <c r="AB69" i="3"/>
  <c r="AF27" i="3"/>
  <c r="AG11" i="3"/>
  <c r="AC60" i="3"/>
  <c r="AC67" i="3"/>
  <c r="AC69" i="3"/>
  <c r="AC34" i="3"/>
  <c r="AG27" i="3"/>
  <c r="AH11" i="3"/>
  <c r="AH27" i="3"/>
  <c r="AD67" i="3"/>
  <c r="AD69" i="3"/>
  <c r="AD60" i="3"/>
  <c r="AD34" i="3"/>
  <c r="AE34" i="3"/>
  <c r="AE67" i="3"/>
  <c r="AE69" i="3"/>
  <c r="AE60" i="3"/>
  <c r="AF60" i="3"/>
  <c r="AF67" i="3"/>
  <c r="AF69" i="3"/>
  <c r="AF34" i="3"/>
  <c r="AG60" i="3"/>
  <c r="AG67" i="3"/>
  <c r="AG69" i="3"/>
  <c r="AG34" i="3"/>
  <c r="AH67" i="3"/>
  <c r="AH69" i="3"/>
  <c r="AH60" i="3"/>
  <c r="AH34" i="3"/>
</calcChain>
</file>

<file path=xl/sharedStrings.xml><?xml version="1.0" encoding="utf-8"?>
<sst xmlns="http://schemas.openxmlformats.org/spreadsheetml/2006/main" count="343" uniqueCount="205">
  <si>
    <t>Receipts:</t>
  </si>
  <si>
    <t>IRA Distribution</t>
  </si>
  <si>
    <t>Social Security</t>
  </si>
  <si>
    <t xml:space="preserve">     Total Receipts</t>
  </si>
  <si>
    <t>Disbursements:</t>
  </si>
  <si>
    <t>Charitable Contributions</t>
  </si>
  <si>
    <t>Income Taxes</t>
  </si>
  <si>
    <t>Professional Fees</t>
  </si>
  <si>
    <t>Personal - Miscellaneous</t>
  </si>
  <si>
    <t xml:space="preserve">     Total Disbursements</t>
  </si>
  <si>
    <t>Net Cash Available to Invest/Gift</t>
  </si>
  <si>
    <t>Assumed</t>
  </si>
  <si>
    <t>Growth</t>
  </si>
  <si>
    <t>Securities</t>
  </si>
  <si>
    <t>Rental/Investment Properties</t>
  </si>
  <si>
    <t>Personal Property</t>
  </si>
  <si>
    <t>Residence</t>
  </si>
  <si>
    <t>Personal property</t>
  </si>
  <si>
    <t>Retirement Assets</t>
  </si>
  <si>
    <t>Emergency Fund</t>
  </si>
  <si>
    <t>Partnership 2</t>
  </si>
  <si>
    <t>Partnership 3</t>
  </si>
  <si>
    <t>W-2 income</t>
  </si>
  <si>
    <t>Home Improvements/Repairs</t>
  </si>
  <si>
    <t>Dining</t>
  </si>
  <si>
    <t>Grocery</t>
  </si>
  <si>
    <t>Clothing</t>
  </si>
  <si>
    <t>Golf Trips</t>
  </si>
  <si>
    <t>Vacation</t>
  </si>
  <si>
    <t>Athletic Events</t>
  </si>
  <si>
    <t>Retirement Contributions</t>
  </si>
  <si>
    <t>Medical Insurance / HSA</t>
  </si>
  <si>
    <t>Disability Insurance</t>
  </si>
  <si>
    <t>Life Insurance</t>
  </si>
  <si>
    <t>Auto / Home / Liability Insurance</t>
  </si>
  <si>
    <t>Recreation</t>
  </si>
  <si>
    <t>Political Contributions</t>
  </si>
  <si>
    <t>Real Estate Taxes</t>
  </si>
  <si>
    <t>Auto Taxes / Licensing</t>
  </si>
  <si>
    <t>Auto Gas / Maintenance</t>
  </si>
  <si>
    <t>Business Dues / Memberships</t>
  </si>
  <si>
    <t>Electricity</t>
  </si>
  <si>
    <t>Gas / Water</t>
  </si>
  <si>
    <t>Sewer / Trash</t>
  </si>
  <si>
    <t>Phone / Cable / Internet</t>
  </si>
  <si>
    <t>Lawn Care / Snow Removal</t>
  </si>
  <si>
    <t>Garden Supplies</t>
  </si>
  <si>
    <t>Hair Care / Body Care</t>
  </si>
  <si>
    <t>Newspapers / Magazines</t>
  </si>
  <si>
    <t>Golf Club</t>
  </si>
  <si>
    <t>Health Club</t>
  </si>
  <si>
    <t>Hobbies</t>
  </si>
  <si>
    <t>Interest</t>
  </si>
  <si>
    <t>Dividends</t>
  </si>
  <si>
    <t>Inflation Rate:</t>
  </si>
  <si>
    <t>Pension</t>
  </si>
  <si>
    <t>COLA SSI Rate:</t>
  </si>
  <si>
    <t>Real Growth:</t>
  </si>
  <si>
    <t>Interest Growth:</t>
  </si>
  <si>
    <t>X</t>
  </si>
  <si>
    <t>Gifts</t>
  </si>
  <si>
    <t>W-2 Income</t>
  </si>
  <si>
    <t>Investment Income</t>
  </si>
  <si>
    <t>Other</t>
  </si>
  <si>
    <t>Household (Utilities, Food, etc.)</t>
  </si>
  <si>
    <t>Insurance (Medical, Auto, etc.)</t>
  </si>
  <si>
    <t>Taxes (Income, Real Estate, etc.)</t>
  </si>
  <si>
    <t>Entertainment (Clubs, hobbies, etc.)</t>
  </si>
  <si>
    <t>Charitable</t>
  </si>
  <si>
    <t>Professional Fees (Legal, Acct, etc.)</t>
  </si>
  <si>
    <t>Lifetime Exemption</t>
  </si>
  <si>
    <r>
      <t xml:space="preserve">     </t>
    </r>
    <r>
      <rPr>
        <b/>
        <sz val="10"/>
        <rFont val="Arial"/>
        <family val="2"/>
      </rPr>
      <t>Total Lifetime Exemption</t>
    </r>
  </si>
  <si>
    <t>Exemption Over/(Under)</t>
  </si>
  <si>
    <t>Total Assets</t>
  </si>
  <si>
    <t xml:space="preserve">          Total Education Fund Balance</t>
  </si>
  <si>
    <t>Dividend Growth:</t>
  </si>
  <si>
    <t>Education Securities</t>
  </si>
  <si>
    <t>Life Insurance Death Benefit</t>
  </si>
  <si>
    <t>Assumptions</t>
  </si>
  <si>
    <t>Cash Flow Data</t>
  </si>
  <si>
    <t>Cash Flow Summary</t>
  </si>
  <si>
    <t>Balance Sheet Summary</t>
  </si>
  <si>
    <t>IRA's/401(k)'s</t>
  </si>
  <si>
    <t>Money Market/Checking Accts</t>
  </si>
  <si>
    <t>Excess For Charitable Purposes</t>
  </si>
  <si>
    <t>Over/(Under) Estate Exemption</t>
  </si>
  <si>
    <t>From Taxable Estate</t>
  </si>
  <si>
    <t>From ILIT</t>
  </si>
  <si>
    <t>John's</t>
  </si>
  <si>
    <t>John</t>
  </si>
  <si>
    <t>Jane</t>
  </si>
  <si>
    <t>Total Assets Included In Neary's Estate</t>
  </si>
  <si>
    <t>S Corp Distributions</t>
  </si>
  <si>
    <t>Transportation</t>
  </si>
  <si>
    <t>Taxes</t>
  </si>
  <si>
    <t>Insurance</t>
  </si>
  <si>
    <t>Present Value of $9,000,000</t>
  </si>
  <si>
    <t>Investment Growth Rate:</t>
  </si>
  <si>
    <t xml:space="preserve">We assumed net cash available to invest gets applied to the investment  account </t>
  </si>
  <si>
    <t>S Corp Distribution</t>
  </si>
  <si>
    <t>Household Expenses</t>
  </si>
  <si>
    <t>Antiquing Trips</t>
  </si>
  <si>
    <t>Assets</t>
  </si>
  <si>
    <t>Cash - Money Market</t>
  </si>
  <si>
    <t>Real Estate</t>
  </si>
  <si>
    <t xml:space="preserve">     Total Assets</t>
  </si>
  <si>
    <t>Liabilities</t>
  </si>
  <si>
    <t>Credit Cards</t>
  </si>
  <si>
    <t xml:space="preserve">     Total Liabilities</t>
  </si>
  <si>
    <t>Net Worth</t>
  </si>
  <si>
    <t>Personal Financial Statement</t>
  </si>
  <si>
    <t>John &amp; Jane Neary</t>
  </si>
  <si>
    <t>Quarter 1</t>
  </si>
  <si>
    <t>Quarter 2</t>
  </si>
  <si>
    <t>Quarter 3</t>
  </si>
  <si>
    <t>Quarter 4</t>
  </si>
  <si>
    <t>Total</t>
  </si>
  <si>
    <t>Auto / Home / Liability Ins</t>
  </si>
  <si>
    <t>Home Imprvmts/Repairs</t>
  </si>
  <si>
    <t>Bus. Dues / Memberships</t>
  </si>
  <si>
    <t xml:space="preserve">     Acme Ins. Co. on John &amp; Jane</t>
  </si>
  <si>
    <t xml:space="preserve">     Acme Ins. Co. on John</t>
  </si>
  <si>
    <t>Quilting Trips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</si>
  <si>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</si>
  <si>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</si>
  <si>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</si>
  <si>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</si>
  <si>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</si>
  <si>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</si>
  <si>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</si>
  <si>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</si>
  <si>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</si>
  <si>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</si>
  <si>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</si>
  <si>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</si>
  <si>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</si>
  <si>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</si>
  <si>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</si>
  <si>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</si>
  <si>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</si>
  <si>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</si>
  <si>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</si>
  <si>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</si>
  <si>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</si>
  <si>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</si>
  <si>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</si>
  <si>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</si>
  <si>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</si>
  <si>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</si>
  <si>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</si>
  <si>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</si>
  <si>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</si>
  <si>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</si>
  <si>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December 31, 20__</t>
  </si>
  <si>
    <t>20__</t>
  </si>
  <si>
    <t xml:space="preserve">     Carrie (Neary) Johnson</t>
  </si>
  <si>
    <t xml:space="preserve">     Barry (Neary) Johnson</t>
  </si>
  <si>
    <t xml:space="preserve">     Gary (Neary) Johnson</t>
  </si>
  <si>
    <t xml:space="preserve">     Harry (Neary) Malcom</t>
  </si>
  <si>
    <t xml:space="preserve">     Jerry (Neary) Malcom</t>
  </si>
  <si>
    <t xml:space="preserve">     Larry (Neary) Malcom</t>
  </si>
  <si>
    <t xml:space="preserve">     Mary (Neary) Malcom</t>
  </si>
  <si>
    <t xml:space="preserve">     Perry Neary</t>
  </si>
  <si>
    <t xml:space="preserve">     Sarie Neary</t>
  </si>
  <si>
    <t xml:space="preserve">     Terry Neary</t>
  </si>
  <si>
    <t>Insurance Premiums</t>
  </si>
  <si>
    <t>Business Dues</t>
  </si>
  <si>
    <t>Contributions</t>
  </si>
  <si>
    <t>401(k) Contributions</t>
  </si>
  <si>
    <t>Miscellaneous</t>
  </si>
  <si>
    <t>Partnerships</t>
  </si>
  <si>
    <t>Residence &amp; Personal Property</t>
  </si>
  <si>
    <t>Education Fund Balance</t>
  </si>
  <si>
    <t>Disbursements</t>
  </si>
  <si>
    <t>Investment Account</t>
  </si>
  <si>
    <t>Age</t>
  </si>
  <si>
    <t>IRA/401(k)'s</t>
  </si>
  <si>
    <t>Cash; Investments;  Real Estate</t>
  </si>
  <si>
    <t>Annual Budget Worksheet</t>
  </si>
  <si>
    <t>Insurance (Life; Disability; Medical)</t>
  </si>
  <si>
    <t>Clubs (Health; Golf)</t>
  </si>
  <si>
    <t>Personal Maintenance (Hair; Nails)</t>
  </si>
  <si>
    <t>Contributions (Charity; Political)</t>
  </si>
  <si>
    <t>Entertainment (Sports Events; Movies)</t>
  </si>
  <si>
    <t>Trips; Vacation</t>
  </si>
  <si>
    <t>Food (Groceries; Dining Out)</t>
  </si>
  <si>
    <t>Home (Utilities; Maint.; Real Estate Taxes)</t>
  </si>
  <si>
    <t>Automobile (Gas; Maintenance; Taxes)</t>
  </si>
  <si>
    <t>Travel; Vacation</t>
  </si>
  <si>
    <t>Gifts (Holiday, Weddings, etc.)</t>
  </si>
  <si>
    <t>Education Fund Growth Rate:</t>
  </si>
  <si>
    <t>Retirement Growth Rate:</t>
  </si>
  <si>
    <r>
      <t xml:space="preserve">We assumed Personal - Miscellaneous expenses are </t>
    </r>
    <r>
      <rPr>
        <sz val="11"/>
        <color rgb="FF0000FF"/>
        <rFont val="Calibri"/>
        <scheme val="minor"/>
      </rPr>
      <t>$10,000</t>
    </r>
    <r>
      <rPr>
        <sz val="11"/>
        <rFont val="Calibri"/>
        <family val="2"/>
        <scheme val="minor"/>
      </rPr>
      <t xml:space="preserve"> in Year 1 and grow by inflation</t>
    </r>
  </si>
  <si>
    <r>
      <t xml:space="preserve">The following expenses were assumed to cease at age </t>
    </r>
    <r>
      <rPr>
        <sz val="11"/>
        <color rgb="FF0000FF"/>
        <rFont val="Calibri"/>
        <scheme val="minor"/>
      </rPr>
      <t>85</t>
    </r>
    <r>
      <rPr>
        <sz val="11"/>
        <color theme="1"/>
        <rFont val="Calibri"/>
        <family val="2"/>
        <scheme val="minor"/>
      </rPr>
      <t>:</t>
    </r>
  </si>
  <si>
    <r>
      <t xml:space="preserve">The following expenses were assumed to cease at age </t>
    </r>
    <r>
      <rPr>
        <sz val="11"/>
        <color rgb="FF0000FF"/>
        <rFont val="Calibri"/>
        <scheme val="minor"/>
      </rPr>
      <t>70</t>
    </r>
    <r>
      <rPr>
        <sz val="11"/>
        <color theme="1"/>
        <rFont val="Calibri"/>
        <family val="2"/>
        <scheme val="minor"/>
      </rPr>
      <t>:</t>
    </r>
  </si>
  <si>
    <r>
      <t xml:space="preserve">The following expenses were assumed to increase until </t>
    </r>
    <r>
      <rPr>
        <sz val="11"/>
        <color rgb="FF0000FF"/>
        <rFont val="Calibri"/>
        <scheme val="minor"/>
      </rPr>
      <t>71</t>
    </r>
    <r>
      <rPr>
        <sz val="11"/>
        <color theme="1"/>
        <rFont val="Calibri"/>
        <family val="2"/>
        <scheme val="minor"/>
      </rPr>
      <t xml:space="preserve">; decrease from </t>
    </r>
    <r>
      <rPr>
        <sz val="11"/>
        <color rgb="FF0000FF"/>
        <rFont val="Calibri"/>
        <scheme val="minor"/>
      </rPr>
      <t>71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rgb="FF0000FF"/>
        <rFont val="Calibri"/>
        <scheme val="minor"/>
      </rPr>
      <t>85</t>
    </r>
    <r>
      <rPr>
        <sz val="11"/>
        <color theme="1"/>
        <rFont val="Calibri"/>
        <family val="2"/>
        <scheme val="minor"/>
      </rPr>
      <t xml:space="preserve">; cease at </t>
    </r>
    <r>
      <rPr>
        <sz val="11"/>
        <color rgb="FF0000FF"/>
        <rFont val="Calibri"/>
        <scheme val="minor"/>
      </rPr>
      <t>85</t>
    </r>
    <r>
      <rPr>
        <sz val="11"/>
        <color theme="1"/>
        <rFont val="Calibri"/>
        <family val="2"/>
        <scheme val="minor"/>
      </rPr>
      <t>:</t>
    </r>
  </si>
  <si>
    <r>
      <t xml:space="preserve">Vacation expense declining beginning at age </t>
    </r>
    <r>
      <rPr>
        <sz val="11"/>
        <color rgb="FF0000FF"/>
        <rFont val="Calibri"/>
        <scheme val="minor"/>
      </rPr>
      <t>75</t>
    </r>
    <r>
      <rPr>
        <sz val="11"/>
        <color theme="1"/>
        <rFont val="Calibri"/>
        <family val="2"/>
        <scheme val="minor"/>
      </rPr>
      <t xml:space="preserve"> and ending at age</t>
    </r>
    <r>
      <rPr>
        <sz val="11"/>
        <color rgb="FF0000FF"/>
        <rFont val="Calibri"/>
        <scheme val="minor"/>
      </rPr>
      <t xml:space="preserve"> 85</t>
    </r>
  </si>
  <si>
    <r>
      <rPr>
        <b/>
        <sz val="10"/>
        <color rgb="FF0000FF"/>
        <rFont val="Arial"/>
      </rPr>
      <t>Husband's</t>
    </r>
    <r>
      <rPr>
        <b/>
        <sz val="10"/>
        <rFont val="Arial"/>
        <family val="2"/>
      </rPr>
      <t xml:space="preserve"> Age</t>
    </r>
  </si>
  <si>
    <r>
      <rPr>
        <b/>
        <sz val="10"/>
        <color rgb="FF0000FF"/>
        <rFont val="Arial"/>
      </rPr>
      <t xml:space="preserve">Wife's </t>
    </r>
    <r>
      <rPr>
        <b/>
        <sz val="10"/>
        <rFont val="Arial"/>
        <family val="2"/>
      </rPr>
      <t>Age</t>
    </r>
  </si>
  <si>
    <r>
      <rPr>
        <b/>
        <u/>
        <sz val="11"/>
        <color rgb="FF0000FF"/>
        <rFont val="Calibri"/>
        <scheme val="minor"/>
      </rPr>
      <t xml:space="preserve">NEARY'S </t>
    </r>
    <r>
      <rPr>
        <b/>
        <u/>
        <sz val="11"/>
        <color theme="1"/>
        <rFont val="Calibri"/>
        <family val="2"/>
        <scheme val="minor"/>
      </rPr>
      <t>ESTATE</t>
    </r>
  </si>
  <si>
    <r>
      <t xml:space="preserve">OUT OF </t>
    </r>
    <r>
      <rPr>
        <b/>
        <u/>
        <sz val="10"/>
        <color rgb="FF0000FF"/>
        <rFont val="Arial"/>
      </rPr>
      <t>NEARY'S</t>
    </r>
    <r>
      <rPr>
        <b/>
        <u/>
        <sz val="10"/>
        <rFont val="Arial"/>
        <family val="2"/>
      </rPr>
      <t xml:space="preserve"> ESTATE</t>
    </r>
  </si>
  <si>
    <r>
      <t>Total Assets Excluded from</t>
    </r>
    <r>
      <rPr>
        <b/>
        <sz val="10"/>
        <color rgb="FF0000FF"/>
        <rFont val="Arial"/>
      </rPr>
      <t xml:space="preserve"> Neary's</t>
    </r>
    <r>
      <rPr>
        <b/>
        <sz val="10"/>
        <rFont val="Arial"/>
        <family val="2"/>
      </rPr>
      <t xml:space="preserve"> Estate</t>
    </r>
  </si>
  <si>
    <t>Net Surplus/Deficit</t>
  </si>
  <si>
    <r>
      <rPr>
        <b/>
        <sz val="11"/>
        <color theme="1"/>
        <rFont val="Calibri"/>
        <family val="2"/>
        <scheme val="minor"/>
      </rPr>
      <t>Legacy Planning</t>
    </r>
  </si>
  <si>
    <r>
      <rPr>
        <b/>
        <sz val="11"/>
        <color theme="1"/>
        <rFont val="Calibri"/>
        <family val="2"/>
        <scheme val="minor"/>
      </rPr>
      <t>Family Legacy 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</si>
</sst>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0000FF"/>
      <name val="Calibri"/>
      <scheme val="minor"/>
    </font>
    <font>
      <sz val="11"/>
      <color rgb="FF0000FF"/>
      <name val="Calibri"/>
      <scheme val="minor"/>
    </font>
    <font>
      <b/>
      <sz val="10"/>
      <color rgb="FF0000FF"/>
      <name val="Arial"/>
    </font>
    <font>
      <b/>
      <u/>
      <sz val="11"/>
      <color rgb="FF0000FF"/>
      <name val="Calibri"/>
      <scheme val="minor"/>
    </font>
    <font>
      <b/>
      <u/>
      <sz val="10"/>
      <color rgb="FF0000FF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43" fontId="0" fillId="0" borderId="0" xfId="0" applyNumberFormat="1"/>
    <xf numFmtId="41" fontId="0" fillId="0" borderId="0" xfId="0" applyNumberFormat="1"/>
    <xf numFmtId="42" fontId="0" fillId="0" borderId="0" xfId="0" applyNumberFormat="1"/>
    <xf numFmtId="0" fontId="2" fillId="0" borderId="0" xfId="0" applyFont="1"/>
    <xf numFmtId="41" fontId="0" fillId="0" borderId="1" xfId="0" applyNumberFormat="1" applyBorder="1"/>
    <xf numFmtId="42" fontId="0" fillId="0" borderId="2" xfId="0" applyNumberFormat="1" applyBorder="1"/>
    <xf numFmtId="0" fontId="1" fillId="0" borderId="0" xfId="0" applyFont="1" applyAlignment="1">
      <alignment horizontal="righ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9" fontId="0" fillId="0" borderId="0" xfId="2" applyFont="1"/>
    <xf numFmtId="164" fontId="0" fillId="0" borderId="0" xfId="2" applyNumberFormat="1" applyFont="1"/>
    <xf numFmtId="165" fontId="1" fillId="0" borderId="0" xfId="1" applyNumberFormat="1" applyFont="1" applyAlignment="1">
      <alignment horizontal="center"/>
    </xf>
    <xf numFmtId="165" fontId="0" fillId="0" borderId="0" xfId="1" applyNumberFormat="1" applyFont="1"/>
    <xf numFmtId="41" fontId="0" fillId="0" borderId="0" xfId="0" applyNumberFormat="1" applyFill="1"/>
    <xf numFmtId="41" fontId="0" fillId="0" borderId="0" xfId="0" applyNumberFormat="1" applyBorder="1"/>
    <xf numFmtId="165" fontId="0" fillId="0" borderId="0" xfId="1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0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165" fontId="0" fillId="0" borderId="1" xfId="1" applyNumberFormat="1" applyFont="1" applyBorder="1"/>
    <xf numFmtId="6" fontId="0" fillId="0" borderId="0" xfId="0" applyNumberFormat="1"/>
    <xf numFmtId="0" fontId="6" fillId="0" borderId="0" xfId="0" applyFont="1"/>
    <xf numFmtId="0" fontId="7" fillId="0" borderId="0" xfId="0" applyFont="1"/>
    <xf numFmtId="6" fontId="4" fillId="0" borderId="2" xfId="0" applyNumberFormat="1" applyFont="1" applyBorder="1"/>
    <xf numFmtId="165" fontId="0" fillId="0" borderId="0" xfId="0" applyNumberFormat="1"/>
    <xf numFmtId="0" fontId="0" fillId="0" borderId="0" xfId="0"/>
    <xf numFmtId="41" fontId="0" fillId="0" borderId="0" xfId="0" applyNumberFormat="1"/>
    <xf numFmtId="41" fontId="4" fillId="0" borderId="3" xfId="3" applyNumberFormat="1" applyFont="1" applyBorder="1"/>
    <xf numFmtId="41" fontId="0" fillId="0" borderId="0" xfId="0" applyNumberFormat="1" applyFill="1" applyBorder="1"/>
    <xf numFmtId="41" fontId="4" fillId="0" borderId="2" xfId="0" applyNumberFormat="1" applyFon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41" fontId="0" fillId="2" borderId="0" xfId="0" applyNumberFormat="1" applyFill="1"/>
    <xf numFmtId="0" fontId="0" fillId="0" borderId="0" xfId="0" applyFill="1"/>
    <xf numFmtId="41" fontId="0" fillId="0" borderId="4" xfId="0" applyNumberFormat="1" applyBorder="1"/>
    <xf numFmtId="43" fontId="0" fillId="0" borderId="1" xfId="1" applyFont="1" applyBorder="1"/>
    <xf numFmtId="15" fontId="0" fillId="0" borderId="0" xfId="0" quotePrefix="1" applyNumberFormat="1"/>
    <xf numFmtId="0" fontId="8" fillId="0" borderId="0" xfId="0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0" fillId="0" borderId="0" xfId="0" quotePrefix="1"/>
    <xf numFmtId="41" fontId="5" fillId="0" borderId="0" xfId="0" applyNumberFormat="1" applyFont="1" applyFill="1"/>
    <xf numFmtId="0" fontId="7" fillId="0" borderId="0" xfId="0" applyFont="1" applyAlignment="1">
      <alignment horizontal="center"/>
    </xf>
    <xf numFmtId="0" fontId="0" fillId="0" borderId="0" xfId="0" applyBorder="1"/>
    <xf numFmtId="41" fontId="4" fillId="0" borderId="0" xfId="3" applyNumberFormat="1" applyFont="1" applyBorder="1"/>
    <xf numFmtId="10" fontId="10" fillId="0" borderId="0" xfId="2" applyNumberFormat="1" applyFont="1"/>
    <xf numFmtId="9" fontId="10" fillId="0" borderId="0" xfId="2" applyFont="1"/>
    <xf numFmtId="10" fontId="10" fillId="0" borderId="0" xfId="0" applyNumberFormat="1" applyFont="1"/>
    <xf numFmtId="164" fontId="10" fillId="0" borderId="0" xfId="2" applyNumberFormat="1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="150" zoomScaleNormal="150" zoomScalePageLayoutView="150" workbookViewId="0"/>
  </sheetViews>
  <sheetFormatPr baseColWidth="10" defaultColWidth="8.83203125" defaultRowHeight="14" x14ac:dyDescent="0"/>
  <cols>
    <col min="1" max="1" width="21.5" customWidth="1"/>
    <col min="2" max="2" width="6.5" customWidth="1"/>
  </cols>
  <sheetData>
    <row r="1" spans="1:3">
      <c r="A1" s="25" t="s">
        <v>203</v>
      </c>
    </row>
    <row r="2" spans="1:3">
      <c r="A2" s="25" t="s">
        <v>78</v>
      </c>
    </row>
    <row r="4" spans="1:3">
      <c r="A4" t="s">
        <v>58</v>
      </c>
      <c r="C4" s="59">
        <v>1.4999999999999999E-2</v>
      </c>
    </row>
    <row r="5" spans="1:3">
      <c r="C5" s="15"/>
    </row>
    <row r="6" spans="1:3">
      <c r="A6" t="s">
        <v>75</v>
      </c>
      <c r="C6" s="59">
        <v>4.4999999999999998E-2</v>
      </c>
    </row>
    <row r="8" spans="1:3">
      <c r="A8" t="s">
        <v>54</v>
      </c>
      <c r="C8" s="56">
        <v>0.03</v>
      </c>
    </row>
    <row r="10" spans="1:3">
      <c r="A10" t="s">
        <v>56</v>
      </c>
      <c r="C10" s="56">
        <v>2.47E-2</v>
      </c>
    </row>
    <row r="12" spans="1:3">
      <c r="A12" s="33" t="s">
        <v>97</v>
      </c>
      <c r="C12" s="57">
        <v>0.06</v>
      </c>
    </row>
    <row r="13" spans="1:3">
      <c r="C13" s="14"/>
    </row>
    <row r="14" spans="1:3">
      <c r="A14" t="s">
        <v>190</v>
      </c>
      <c r="C14" s="57">
        <v>0.06</v>
      </c>
    </row>
    <row r="15" spans="1:3">
      <c r="C15" s="14"/>
    </row>
    <row r="16" spans="1:3">
      <c r="A16" t="s">
        <v>191</v>
      </c>
      <c r="C16" s="57">
        <v>0.06</v>
      </c>
    </row>
    <row r="17" spans="1:3">
      <c r="C17" s="14"/>
    </row>
    <row r="18" spans="1:3">
      <c r="A18" t="s">
        <v>57</v>
      </c>
      <c r="C18" s="58">
        <f>C12-C8</f>
        <v>0.03</v>
      </c>
    </row>
    <row r="21" spans="1:3">
      <c r="A21" s="33" t="s">
        <v>98</v>
      </c>
    </row>
    <row r="23" spans="1:3">
      <c r="A23" s="26" t="s">
        <v>192</v>
      </c>
    </row>
    <row r="25" spans="1:3">
      <c r="A25" t="s">
        <v>193</v>
      </c>
    </row>
    <row r="26" spans="1:3">
      <c r="B26" t="s">
        <v>29</v>
      </c>
    </row>
    <row r="27" spans="1:3">
      <c r="B27" t="s">
        <v>49</v>
      </c>
    </row>
    <row r="28" spans="1:3">
      <c r="B28" t="s">
        <v>50</v>
      </c>
    </row>
    <row r="30" spans="1:3">
      <c r="A30" t="s">
        <v>195</v>
      </c>
    </row>
    <row r="31" spans="1:3">
      <c r="B31" t="s">
        <v>27</v>
      </c>
    </row>
    <row r="32" spans="1:3">
      <c r="B32" t="s">
        <v>122</v>
      </c>
    </row>
    <row r="34" spans="1:2">
      <c r="A34" t="s">
        <v>194</v>
      </c>
    </row>
    <row r="35" spans="1:2">
      <c r="B35" t="s">
        <v>165</v>
      </c>
    </row>
    <row r="36" spans="1:2">
      <c r="B36" t="s">
        <v>166</v>
      </c>
    </row>
    <row r="37" spans="1:2">
      <c r="B37" t="s">
        <v>167</v>
      </c>
    </row>
    <row r="39" spans="1:2">
      <c r="A39" t="s">
        <v>196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87"/>
  <sheetViews>
    <sheetView workbookViewId="0"/>
  </sheetViews>
  <sheetFormatPr baseColWidth="10" defaultColWidth="8.83203125" defaultRowHeight="14" x14ac:dyDescent="0"/>
  <cols>
    <col min="1" max="1" width="3.6640625" customWidth="1"/>
    <col min="2" max="2" width="30.5" bestFit="1" customWidth="1"/>
    <col min="3" max="3" width="10" bestFit="1" customWidth="1"/>
    <col min="4" max="4" width="10.5" bestFit="1" customWidth="1"/>
    <col min="5" max="7" width="10" bestFit="1" customWidth="1"/>
    <col min="8" max="10" width="10.6640625" bestFit="1" customWidth="1"/>
    <col min="11" max="11" width="9.6640625" bestFit="1" customWidth="1"/>
    <col min="12" max="13" width="10" bestFit="1" customWidth="1"/>
    <col min="14" max="14" width="10.5" bestFit="1" customWidth="1"/>
    <col min="15" max="16" width="9.6640625" bestFit="1" customWidth="1"/>
    <col min="17" max="17" width="10.5" bestFit="1" customWidth="1"/>
    <col min="18" max="21" width="10" bestFit="1" customWidth="1"/>
    <col min="22" max="24" width="9.6640625" bestFit="1" customWidth="1"/>
    <col min="25" max="30" width="10.5" bestFit="1" customWidth="1"/>
    <col min="31" max="32" width="11.5" bestFit="1" customWidth="1"/>
    <col min="251" max="251" width="3.6640625" customWidth="1"/>
    <col min="252" max="252" width="30.5" bestFit="1" customWidth="1"/>
    <col min="253" max="253" width="11.33203125" bestFit="1" customWidth="1"/>
    <col min="254" max="254" width="10.33203125" bestFit="1" customWidth="1"/>
    <col min="255" max="255" width="11.33203125" bestFit="1" customWidth="1"/>
    <col min="256" max="261" width="10.33203125" bestFit="1" customWidth="1"/>
    <col min="262" max="262" width="10.83203125" bestFit="1" customWidth="1"/>
    <col min="263" max="263" width="10.33203125" bestFit="1" customWidth="1"/>
    <col min="264" max="264" width="10.83203125" bestFit="1" customWidth="1"/>
    <col min="265" max="265" width="10.33203125" bestFit="1" customWidth="1"/>
    <col min="507" max="507" width="3.6640625" customWidth="1"/>
    <col min="508" max="508" width="30.5" bestFit="1" customWidth="1"/>
    <col min="509" max="509" width="11.33203125" bestFit="1" customWidth="1"/>
    <col min="510" max="510" width="10.33203125" bestFit="1" customWidth="1"/>
    <col min="511" max="511" width="11.33203125" bestFit="1" customWidth="1"/>
    <col min="512" max="517" width="10.33203125" bestFit="1" customWidth="1"/>
    <col min="518" max="518" width="10.83203125" bestFit="1" customWidth="1"/>
    <col min="519" max="519" width="10.33203125" bestFit="1" customWidth="1"/>
    <col min="520" max="520" width="10.83203125" bestFit="1" customWidth="1"/>
    <col min="521" max="521" width="10.33203125" bestFit="1" customWidth="1"/>
    <col min="763" max="763" width="3.6640625" customWidth="1"/>
    <col min="764" max="764" width="30.5" bestFit="1" customWidth="1"/>
    <col min="765" max="765" width="11.33203125" bestFit="1" customWidth="1"/>
    <col min="766" max="766" width="10.33203125" bestFit="1" customWidth="1"/>
    <col min="767" max="767" width="11.33203125" bestFit="1" customWidth="1"/>
    <col min="768" max="773" width="10.33203125" bestFit="1" customWidth="1"/>
    <col min="774" max="774" width="10.83203125" bestFit="1" customWidth="1"/>
    <col min="775" max="775" width="10.33203125" bestFit="1" customWidth="1"/>
    <col min="776" max="776" width="10.83203125" bestFit="1" customWidth="1"/>
    <col min="777" max="777" width="10.33203125" bestFit="1" customWidth="1"/>
    <col min="1019" max="1019" width="3.6640625" customWidth="1"/>
    <col min="1020" max="1020" width="30.5" bestFit="1" customWidth="1"/>
    <col min="1021" max="1021" width="11.33203125" bestFit="1" customWidth="1"/>
    <col min="1022" max="1022" width="10.33203125" bestFit="1" customWidth="1"/>
    <col min="1023" max="1023" width="11.33203125" bestFit="1" customWidth="1"/>
    <col min="1024" max="1029" width="10.33203125" bestFit="1" customWidth="1"/>
    <col min="1030" max="1030" width="10.83203125" bestFit="1" customWidth="1"/>
    <col min="1031" max="1031" width="10.33203125" bestFit="1" customWidth="1"/>
    <col min="1032" max="1032" width="10.83203125" bestFit="1" customWidth="1"/>
    <col min="1033" max="1033" width="10.33203125" bestFit="1" customWidth="1"/>
    <col min="1275" max="1275" width="3.6640625" customWidth="1"/>
    <col min="1276" max="1276" width="30.5" bestFit="1" customWidth="1"/>
    <col min="1277" max="1277" width="11.33203125" bestFit="1" customWidth="1"/>
    <col min="1278" max="1278" width="10.33203125" bestFit="1" customWidth="1"/>
    <col min="1279" max="1279" width="11.33203125" bestFit="1" customWidth="1"/>
    <col min="1280" max="1285" width="10.33203125" bestFit="1" customWidth="1"/>
    <col min="1286" max="1286" width="10.83203125" bestFit="1" customWidth="1"/>
    <col min="1287" max="1287" width="10.33203125" bestFit="1" customWidth="1"/>
    <col min="1288" max="1288" width="10.83203125" bestFit="1" customWidth="1"/>
    <col min="1289" max="1289" width="10.33203125" bestFit="1" customWidth="1"/>
    <col min="1531" max="1531" width="3.6640625" customWidth="1"/>
    <col min="1532" max="1532" width="30.5" bestFit="1" customWidth="1"/>
    <col min="1533" max="1533" width="11.33203125" bestFit="1" customWidth="1"/>
    <col min="1534" max="1534" width="10.33203125" bestFit="1" customWidth="1"/>
    <col min="1535" max="1535" width="11.33203125" bestFit="1" customWidth="1"/>
    <col min="1536" max="1541" width="10.33203125" bestFit="1" customWidth="1"/>
    <col min="1542" max="1542" width="10.83203125" bestFit="1" customWidth="1"/>
    <col min="1543" max="1543" width="10.33203125" bestFit="1" customWidth="1"/>
    <col min="1544" max="1544" width="10.83203125" bestFit="1" customWidth="1"/>
    <col min="1545" max="1545" width="10.33203125" bestFit="1" customWidth="1"/>
    <col min="1787" max="1787" width="3.6640625" customWidth="1"/>
    <col min="1788" max="1788" width="30.5" bestFit="1" customWidth="1"/>
    <col min="1789" max="1789" width="11.33203125" bestFit="1" customWidth="1"/>
    <col min="1790" max="1790" width="10.33203125" bestFit="1" customWidth="1"/>
    <col min="1791" max="1791" width="11.33203125" bestFit="1" customWidth="1"/>
    <col min="1792" max="1797" width="10.33203125" bestFit="1" customWidth="1"/>
    <col min="1798" max="1798" width="10.83203125" bestFit="1" customWidth="1"/>
    <col min="1799" max="1799" width="10.33203125" bestFit="1" customWidth="1"/>
    <col min="1800" max="1800" width="10.83203125" bestFit="1" customWidth="1"/>
    <col min="1801" max="1801" width="10.33203125" bestFit="1" customWidth="1"/>
    <col min="2043" max="2043" width="3.6640625" customWidth="1"/>
    <col min="2044" max="2044" width="30.5" bestFit="1" customWidth="1"/>
    <col min="2045" max="2045" width="11.33203125" bestFit="1" customWidth="1"/>
    <col min="2046" max="2046" width="10.33203125" bestFit="1" customWidth="1"/>
    <col min="2047" max="2047" width="11.33203125" bestFit="1" customWidth="1"/>
    <col min="2048" max="2053" width="10.33203125" bestFit="1" customWidth="1"/>
    <col min="2054" max="2054" width="10.83203125" bestFit="1" customWidth="1"/>
    <col min="2055" max="2055" width="10.33203125" bestFit="1" customWidth="1"/>
    <col min="2056" max="2056" width="10.83203125" bestFit="1" customWidth="1"/>
    <col min="2057" max="2057" width="10.33203125" bestFit="1" customWidth="1"/>
    <col min="2299" max="2299" width="3.6640625" customWidth="1"/>
    <col min="2300" max="2300" width="30.5" bestFit="1" customWidth="1"/>
    <col min="2301" max="2301" width="11.33203125" bestFit="1" customWidth="1"/>
    <col min="2302" max="2302" width="10.33203125" bestFit="1" customWidth="1"/>
    <col min="2303" max="2303" width="11.33203125" bestFit="1" customWidth="1"/>
    <col min="2304" max="2309" width="10.33203125" bestFit="1" customWidth="1"/>
    <col min="2310" max="2310" width="10.83203125" bestFit="1" customWidth="1"/>
    <col min="2311" max="2311" width="10.33203125" bestFit="1" customWidth="1"/>
    <col min="2312" max="2312" width="10.83203125" bestFit="1" customWidth="1"/>
    <col min="2313" max="2313" width="10.33203125" bestFit="1" customWidth="1"/>
    <col min="2555" max="2555" width="3.6640625" customWidth="1"/>
    <col min="2556" max="2556" width="30.5" bestFit="1" customWidth="1"/>
    <col min="2557" max="2557" width="11.33203125" bestFit="1" customWidth="1"/>
    <col min="2558" max="2558" width="10.33203125" bestFit="1" customWidth="1"/>
    <col min="2559" max="2559" width="11.33203125" bestFit="1" customWidth="1"/>
    <col min="2560" max="2565" width="10.33203125" bestFit="1" customWidth="1"/>
    <col min="2566" max="2566" width="10.83203125" bestFit="1" customWidth="1"/>
    <col min="2567" max="2567" width="10.33203125" bestFit="1" customWidth="1"/>
    <col min="2568" max="2568" width="10.83203125" bestFit="1" customWidth="1"/>
    <col min="2569" max="2569" width="10.33203125" bestFit="1" customWidth="1"/>
    <col min="2811" max="2811" width="3.6640625" customWidth="1"/>
    <col min="2812" max="2812" width="30.5" bestFit="1" customWidth="1"/>
    <col min="2813" max="2813" width="11.33203125" bestFit="1" customWidth="1"/>
    <col min="2814" max="2814" width="10.33203125" bestFit="1" customWidth="1"/>
    <col min="2815" max="2815" width="11.33203125" bestFit="1" customWidth="1"/>
    <col min="2816" max="2821" width="10.33203125" bestFit="1" customWidth="1"/>
    <col min="2822" max="2822" width="10.83203125" bestFit="1" customWidth="1"/>
    <col min="2823" max="2823" width="10.33203125" bestFit="1" customWidth="1"/>
    <col min="2824" max="2824" width="10.83203125" bestFit="1" customWidth="1"/>
    <col min="2825" max="2825" width="10.33203125" bestFit="1" customWidth="1"/>
    <col min="3067" max="3067" width="3.6640625" customWidth="1"/>
    <col min="3068" max="3068" width="30.5" bestFit="1" customWidth="1"/>
    <col min="3069" max="3069" width="11.33203125" bestFit="1" customWidth="1"/>
    <col min="3070" max="3070" width="10.33203125" bestFit="1" customWidth="1"/>
    <col min="3071" max="3071" width="11.33203125" bestFit="1" customWidth="1"/>
    <col min="3072" max="3077" width="10.33203125" bestFit="1" customWidth="1"/>
    <col min="3078" max="3078" width="10.83203125" bestFit="1" customWidth="1"/>
    <col min="3079" max="3079" width="10.33203125" bestFit="1" customWidth="1"/>
    <col min="3080" max="3080" width="10.83203125" bestFit="1" customWidth="1"/>
    <col min="3081" max="3081" width="10.33203125" bestFit="1" customWidth="1"/>
    <col min="3323" max="3323" width="3.6640625" customWidth="1"/>
    <col min="3324" max="3324" width="30.5" bestFit="1" customWidth="1"/>
    <col min="3325" max="3325" width="11.33203125" bestFit="1" customWidth="1"/>
    <col min="3326" max="3326" width="10.33203125" bestFit="1" customWidth="1"/>
    <col min="3327" max="3327" width="11.33203125" bestFit="1" customWidth="1"/>
    <col min="3328" max="3333" width="10.33203125" bestFit="1" customWidth="1"/>
    <col min="3334" max="3334" width="10.83203125" bestFit="1" customWidth="1"/>
    <col min="3335" max="3335" width="10.33203125" bestFit="1" customWidth="1"/>
    <col min="3336" max="3336" width="10.83203125" bestFit="1" customWidth="1"/>
    <col min="3337" max="3337" width="10.33203125" bestFit="1" customWidth="1"/>
    <col min="3579" max="3579" width="3.6640625" customWidth="1"/>
    <col min="3580" max="3580" width="30.5" bestFit="1" customWidth="1"/>
    <col min="3581" max="3581" width="11.33203125" bestFit="1" customWidth="1"/>
    <col min="3582" max="3582" width="10.33203125" bestFit="1" customWidth="1"/>
    <col min="3583" max="3583" width="11.33203125" bestFit="1" customWidth="1"/>
    <col min="3584" max="3589" width="10.33203125" bestFit="1" customWidth="1"/>
    <col min="3590" max="3590" width="10.83203125" bestFit="1" customWidth="1"/>
    <col min="3591" max="3591" width="10.33203125" bestFit="1" customWidth="1"/>
    <col min="3592" max="3592" width="10.83203125" bestFit="1" customWidth="1"/>
    <col min="3593" max="3593" width="10.33203125" bestFit="1" customWidth="1"/>
    <col min="3835" max="3835" width="3.6640625" customWidth="1"/>
    <col min="3836" max="3836" width="30.5" bestFit="1" customWidth="1"/>
    <col min="3837" max="3837" width="11.33203125" bestFit="1" customWidth="1"/>
    <col min="3838" max="3838" width="10.33203125" bestFit="1" customWidth="1"/>
    <col min="3839" max="3839" width="11.33203125" bestFit="1" customWidth="1"/>
    <col min="3840" max="3845" width="10.33203125" bestFit="1" customWidth="1"/>
    <col min="3846" max="3846" width="10.83203125" bestFit="1" customWidth="1"/>
    <col min="3847" max="3847" width="10.33203125" bestFit="1" customWidth="1"/>
    <col min="3848" max="3848" width="10.83203125" bestFit="1" customWidth="1"/>
    <col min="3849" max="3849" width="10.33203125" bestFit="1" customWidth="1"/>
    <col min="4091" max="4091" width="3.6640625" customWidth="1"/>
    <col min="4092" max="4092" width="30.5" bestFit="1" customWidth="1"/>
    <col min="4093" max="4093" width="11.33203125" bestFit="1" customWidth="1"/>
    <col min="4094" max="4094" width="10.33203125" bestFit="1" customWidth="1"/>
    <col min="4095" max="4095" width="11.33203125" bestFit="1" customWidth="1"/>
    <col min="4096" max="4101" width="10.33203125" bestFit="1" customWidth="1"/>
    <col min="4102" max="4102" width="10.83203125" bestFit="1" customWidth="1"/>
    <col min="4103" max="4103" width="10.33203125" bestFit="1" customWidth="1"/>
    <col min="4104" max="4104" width="10.83203125" bestFit="1" customWidth="1"/>
    <col min="4105" max="4105" width="10.33203125" bestFit="1" customWidth="1"/>
    <col min="4347" max="4347" width="3.6640625" customWidth="1"/>
    <col min="4348" max="4348" width="30.5" bestFit="1" customWidth="1"/>
    <col min="4349" max="4349" width="11.33203125" bestFit="1" customWidth="1"/>
    <col min="4350" max="4350" width="10.33203125" bestFit="1" customWidth="1"/>
    <col min="4351" max="4351" width="11.33203125" bestFit="1" customWidth="1"/>
    <col min="4352" max="4357" width="10.33203125" bestFit="1" customWidth="1"/>
    <col min="4358" max="4358" width="10.83203125" bestFit="1" customWidth="1"/>
    <col min="4359" max="4359" width="10.33203125" bestFit="1" customWidth="1"/>
    <col min="4360" max="4360" width="10.83203125" bestFit="1" customWidth="1"/>
    <col min="4361" max="4361" width="10.33203125" bestFit="1" customWidth="1"/>
    <col min="4603" max="4603" width="3.6640625" customWidth="1"/>
    <col min="4604" max="4604" width="30.5" bestFit="1" customWidth="1"/>
    <col min="4605" max="4605" width="11.33203125" bestFit="1" customWidth="1"/>
    <col min="4606" max="4606" width="10.33203125" bestFit="1" customWidth="1"/>
    <col min="4607" max="4607" width="11.33203125" bestFit="1" customWidth="1"/>
    <col min="4608" max="4613" width="10.33203125" bestFit="1" customWidth="1"/>
    <col min="4614" max="4614" width="10.83203125" bestFit="1" customWidth="1"/>
    <col min="4615" max="4615" width="10.33203125" bestFit="1" customWidth="1"/>
    <col min="4616" max="4616" width="10.83203125" bestFit="1" customWidth="1"/>
    <col min="4617" max="4617" width="10.33203125" bestFit="1" customWidth="1"/>
    <col min="4859" max="4859" width="3.6640625" customWidth="1"/>
    <col min="4860" max="4860" width="30.5" bestFit="1" customWidth="1"/>
    <col min="4861" max="4861" width="11.33203125" bestFit="1" customWidth="1"/>
    <col min="4862" max="4862" width="10.33203125" bestFit="1" customWidth="1"/>
    <col min="4863" max="4863" width="11.33203125" bestFit="1" customWidth="1"/>
    <col min="4864" max="4869" width="10.33203125" bestFit="1" customWidth="1"/>
    <col min="4870" max="4870" width="10.83203125" bestFit="1" customWidth="1"/>
    <col min="4871" max="4871" width="10.33203125" bestFit="1" customWidth="1"/>
    <col min="4872" max="4872" width="10.83203125" bestFit="1" customWidth="1"/>
    <col min="4873" max="4873" width="10.33203125" bestFit="1" customWidth="1"/>
    <col min="5115" max="5115" width="3.6640625" customWidth="1"/>
    <col min="5116" max="5116" width="30.5" bestFit="1" customWidth="1"/>
    <col min="5117" max="5117" width="11.33203125" bestFit="1" customWidth="1"/>
    <col min="5118" max="5118" width="10.33203125" bestFit="1" customWidth="1"/>
    <col min="5119" max="5119" width="11.33203125" bestFit="1" customWidth="1"/>
    <col min="5120" max="5125" width="10.33203125" bestFit="1" customWidth="1"/>
    <col min="5126" max="5126" width="10.83203125" bestFit="1" customWidth="1"/>
    <col min="5127" max="5127" width="10.33203125" bestFit="1" customWidth="1"/>
    <col min="5128" max="5128" width="10.83203125" bestFit="1" customWidth="1"/>
    <col min="5129" max="5129" width="10.33203125" bestFit="1" customWidth="1"/>
    <col min="5371" max="5371" width="3.6640625" customWidth="1"/>
    <col min="5372" max="5372" width="30.5" bestFit="1" customWidth="1"/>
    <col min="5373" max="5373" width="11.33203125" bestFit="1" customWidth="1"/>
    <col min="5374" max="5374" width="10.33203125" bestFit="1" customWidth="1"/>
    <col min="5375" max="5375" width="11.33203125" bestFit="1" customWidth="1"/>
    <col min="5376" max="5381" width="10.33203125" bestFit="1" customWidth="1"/>
    <col min="5382" max="5382" width="10.83203125" bestFit="1" customWidth="1"/>
    <col min="5383" max="5383" width="10.33203125" bestFit="1" customWidth="1"/>
    <col min="5384" max="5384" width="10.83203125" bestFit="1" customWidth="1"/>
    <col min="5385" max="5385" width="10.33203125" bestFit="1" customWidth="1"/>
    <col min="5627" max="5627" width="3.6640625" customWidth="1"/>
    <col min="5628" max="5628" width="30.5" bestFit="1" customWidth="1"/>
    <col min="5629" max="5629" width="11.33203125" bestFit="1" customWidth="1"/>
    <col min="5630" max="5630" width="10.33203125" bestFit="1" customWidth="1"/>
    <col min="5631" max="5631" width="11.33203125" bestFit="1" customWidth="1"/>
    <col min="5632" max="5637" width="10.33203125" bestFit="1" customWidth="1"/>
    <col min="5638" max="5638" width="10.83203125" bestFit="1" customWidth="1"/>
    <col min="5639" max="5639" width="10.33203125" bestFit="1" customWidth="1"/>
    <col min="5640" max="5640" width="10.83203125" bestFit="1" customWidth="1"/>
    <col min="5641" max="5641" width="10.33203125" bestFit="1" customWidth="1"/>
    <col min="5883" max="5883" width="3.6640625" customWidth="1"/>
    <col min="5884" max="5884" width="30.5" bestFit="1" customWidth="1"/>
    <col min="5885" max="5885" width="11.33203125" bestFit="1" customWidth="1"/>
    <col min="5886" max="5886" width="10.33203125" bestFit="1" customWidth="1"/>
    <col min="5887" max="5887" width="11.33203125" bestFit="1" customWidth="1"/>
    <col min="5888" max="5893" width="10.33203125" bestFit="1" customWidth="1"/>
    <col min="5894" max="5894" width="10.83203125" bestFit="1" customWidth="1"/>
    <col min="5895" max="5895" width="10.33203125" bestFit="1" customWidth="1"/>
    <col min="5896" max="5896" width="10.83203125" bestFit="1" customWidth="1"/>
    <col min="5897" max="5897" width="10.33203125" bestFit="1" customWidth="1"/>
    <col min="6139" max="6139" width="3.6640625" customWidth="1"/>
    <col min="6140" max="6140" width="30.5" bestFit="1" customWidth="1"/>
    <col min="6141" max="6141" width="11.33203125" bestFit="1" customWidth="1"/>
    <col min="6142" max="6142" width="10.33203125" bestFit="1" customWidth="1"/>
    <col min="6143" max="6143" width="11.33203125" bestFit="1" customWidth="1"/>
    <col min="6144" max="6149" width="10.33203125" bestFit="1" customWidth="1"/>
    <col min="6150" max="6150" width="10.83203125" bestFit="1" customWidth="1"/>
    <col min="6151" max="6151" width="10.33203125" bestFit="1" customWidth="1"/>
    <col min="6152" max="6152" width="10.83203125" bestFit="1" customWidth="1"/>
    <col min="6153" max="6153" width="10.33203125" bestFit="1" customWidth="1"/>
    <col min="6395" max="6395" width="3.6640625" customWidth="1"/>
    <col min="6396" max="6396" width="30.5" bestFit="1" customWidth="1"/>
    <col min="6397" max="6397" width="11.33203125" bestFit="1" customWidth="1"/>
    <col min="6398" max="6398" width="10.33203125" bestFit="1" customWidth="1"/>
    <col min="6399" max="6399" width="11.33203125" bestFit="1" customWidth="1"/>
    <col min="6400" max="6405" width="10.33203125" bestFit="1" customWidth="1"/>
    <col min="6406" max="6406" width="10.83203125" bestFit="1" customWidth="1"/>
    <col min="6407" max="6407" width="10.33203125" bestFit="1" customWidth="1"/>
    <col min="6408" max="6408" width="10.83203125" bestFit="1" customWidth="1"/>
    <col min="6409" max="6409" width="10.33203125" bestFit="1" customWidth="1"/>
    <col min="6651" max="6651" width="3.6640625" customWidth="1"/>
    <col min="6652" max="6652" width="30.5" bestFit="1" customWidth="1"/>
    <col min="6653" max="6653" width="11.33203125" bestFit="1" customWidth="1"/>
    <col min="6654" max="6654" width="10.33203125" bestFit="1" customWidth="1"/>
    <col min="6655" max="6655" width="11.33203125" bestFit="1" customWidth="1"/>
    <col min="6656" max="6661" width="10.33203125" bestFit="1" customWidth="1"/>
    <col min="6662" max="6662" width="10.83203125" bestFit="1" customWidth="1"/>
    <col min="6663" max="6663" width="10.33203125" bestFit="1" customWidth="1"/>
    <col min="6664" max="6664" width="10.83203125" bestFit="1" customWidth="1"/>
    <col min="6665" max="6665" width="10.33203125" bestFit="1" customWidth="1"/>
    <col min="6907" max="6907" width="3.6640625" customWidth="1"/>
    <col min="6908" max="6908" width="30.5" bestFit="1" customWidth="1"/>
    <col min="6909" max="6909" width="11.33203125" bestFit="1" customWidth="1"/>
    <col min="6910" max="6910" width="10.33203125" bestFit="1" customWidth="1"/>
    <col min="6911" max="6911" width="11.33203125" bestFit="1" customWidth="1"/>
    <col min="6912" max="6917" width="10.33203125" bestFit="1" customWidth="1"/>
    <col min="6918" max="6918" width="10.83203125" bestFit="1" customWidth="1"/>
    <col min="6919" max="6919" width="10.33203125" bestFit="1" customWidth="1"/>
    <col min="6920" max="6920" width="10.83203125" bestFit="1" customWidth="1"/>
    <col min="6921" max="6921" width="10.33203125" bestFit="1" customWidth="1"/>
    <col min="7163" max="7163" width="3.6640625" customWidth="1"/>
    <col min="7164" max="7164" width="30.5" bestFit="1" customWidth="1"/>
    <col min="7165" max="7165" width="11.33203125" bestFit="1" customWidth="1"/>
    <col min="7166" max="7166" width="10.33203125" bestFit="1" customWidth="1"/>
    <col min="7167" max="7167" width="11.33203125" bestFit="1" customWidth="1"/>
    <col min="7168" max="7173" width="10.33203125" bestFit="1" customWidth="1"/>
    <col min="7174" max="7174" width="10.83203125" bestFit="1" customWidth="1"/>
    <col min="7175" max="7175" width="10.33203125" bestFit="1" customWidth="1"/>
    <col min="7176" max="7176" width="10.83203125" bestFit="1" customWidth="1"/>
    <col min="7177" max="7177" width="10.33203125" bestFit="1" customWidth="1"/>
    <col min="7419" max="7419" width="3.6640625" customWidth="1"/>
    <col min="7420" max="7420" width="30.5" bestFit="1" customWidth="1"/>
    <col min="7421" max="7421" width="11.33203125" bestFit="1" customWidth="1"/>
    <col min="7422" max="7422" width="10.33203125" bestFit="1" customWidth="1"/>
    <col min="7423" max="7423" width="11.33203125" bestFit="1" customWidth="1"/>
    <col min="7424" max="7429" width="10.33203125" bestFit="1" customWidth="1"/>
    <col min="7430" max="7430" width="10.83203125" bestFit="1" customWidth="1"/>
    <col min="7431" max="7431" width="10.33203125" bestFit="1" customWidth="1"/>
    <col min="7432" max="7432" width="10.83203125" bestFit="1" customWidth="1"/>
    <col min="7433" max="7433" width="10.33203125" bestFit="1" customWidth="1"/>
    <col min="7675" max="7675" width="3.6640625" customWidth="1"/>
    <col min="7676" max="7676" width="30.5" bestFit="1" customWidth="1"/>
    <col min="7677" max="7677" width="11.33203125" bestFit="1" customWidth="1"/>
    <col min="7678" max="7678" width="10.33203125" bestFit="1" customWidth="1"/>
    <col min="7679" max="7679" width="11.33203125" bestFit="1" customWidth="1"/>
    <col min="7680" max="7685" width="10.33203125" bestFit="1" customWidth="1"/>
    <col min="7686" max="7686" width="10.83203125" bestFit="1" customWidth="1"/>
    <col min="7687" max="7687" width="10.33203125" bestFit="1" customWidth="1"/>
    <col min="7688" max="7688" width="10.83203125" bestFit="1" customWidth="1"/>
    <col min="7689" max="7689" width="10.33203125" bestFit="1" customWidth="1"/>
    <col min="7931" max="7931" width="3.6640625" customWidth="1"/>
    <col min="7932" max="7932" width="30.5" bestFit="1" customWidth="1"/>
    <col min="7933" max="7933" width="11.33203125" bestFit="1" customWidth="1"/>
    <col min="7934" max="7934" width="10.33203125" bestFit="1" customWidth="1"/>
    <col min="7935" max="7935" width="11.33203125" bestFit="1" customWidth="1"/>
    <col min="7936" max="7941" width="10.33203125" bestFit="1" customWidth="1"/>
    <col min="7942" max="7942" width="10.83203125" bestFit="1" customWidth="1"/>
    <col min="7943" max="7943" width="10.33203125" bestFit="1" customWidth="1"/>
    <col min="7944" max="7944" width="10.83203125" bestFit="1" customWidth="1"/>
    <col min="7945" max="7945" width="10.33203125" bestFit="1" customWidth="1"/>
    <col min="8187" max="8187" width="3.6640625" customWidth="1"/>
    <col min="8188" max="8188" width="30.5" bestFit="1" customWidth="1"/>
    <col min="8189" max="8189" width="11.33203125" bestFit="1" customWidth="1"/>
    <col min="8190" max="8190" width="10.33203125" bestFit="1" customWidth="1"/>
    <col min="8191" max="8191" width="11.33203125" bestFit="1" customWidth="1"/>
    <col min="8192" max="8197" width="10.33203125" bestFit="1" customWidth="1"/>
    <col min="8198" max="8198" width="10.83203125" bestFit="1" customWidth="1"/>
    <col min="8199" max="8199" width="10.33203125" bestFit="1" customWidth="1"/>
    <col min="8200" max="8200" width="10.83203125" bestFit="1" customWidth="1"/>
    <col min="8201" max="8201" width="10.33203125" bestFit="1" customWidth="1"/>
    <col min="8443" max="8443" width="3.6640625" customWidth="1"/>
    <col min="8444" max="8444" width="30.5" bestFit="1" customWidth="1"/>
    <col min="8445" max="8445" width="11.33203125" bestFit="1" customWidth="1"/>
    <col min="8446" max="8446" width="10.33203125" bestFit="1" customWidth="1"/>
    <col min="8447" max="8447" width="11.33203125" bestFit="1" customWidth="1"/>
    <col min="8448" max="8453" width="10.33203125" bestFit="1" customWidth="1"/>
    <col min="8454" max="8454" width="10.83203125" bestFit="1" customWidth="1"/>
    <col min="8455" max="8455" width="10.33203125" bestFit="1" customWidth="1"/>
    <col min="8456" max="8456" width="10.83203125" bestFit="1" customWidth="1"/>
    <col min="8457" max="8457" width="10.33203125" bestFit="1" customWidth="1"/>
    <col min="8699" max="8699" width="3.6640625" customWidth="1"/>
    <col min="8700" max="8700" width="30.5" bestFit="1" customWidth="1"/>
    <col min="8701" max="8701" width="11.33203125" bestFit="1" customWidth="1"/>
    <col min="8702" max="8702" width="10.33203125" bestFit="1" customWidth="1"/>
    <col min="8703" max="8703" width="11.33203125" bestFit="1" customWidth="1"/>
    <col min="8704" max="8709" width="10.33203125" bestFit="1" customWidth="1"/>
    <col min="8710" max="8710" width="10.83203125" bestFit="1" customWidth="1"/>
    <col min="8711" max="8711" width="10.33203125" bestFit="1" customWidth="1"/>
    <col min="8712" max="8712" width="10.83203125" bestFit="1" customWidth="1"/>
    <col min="8713" max="8713" width="10.33203125" bestFit="1" customWidth="1"/>
    <col min="8955" max="8955" width="3.6640625" customWidth="1"/>
    <col min="8956" max="8956" width="30.5" bestFit="1" customWidth="1"/>
    <col min="8957" max="8957" width="11.33203125" bestFit="1" customWidth="1"/>
    <col min="8958" max="8958" width="10.33203125" bestFit="1" customWidth="1"/>
    <col min="8959" max="8959" width="11.33203125" bestFit="1" customWidth="1"/>
    <col min="8960" max="8965" width="10.33203125" bestFit="1" customWidth="1"/>
    <col min="8966" max="8966" width="10.83203125" bestFit="1" customWidth="1"/>
    <col min="8967" max="8967" width="10.33203125" bestFit="1" customWidth="1"/>
    <col min="8968" max="8968" width="10.83203125" bestFit="1" customWidth="1"/>
    <col min="8969" max="8969" width="10.33203125" bestFit="1" customWidth="1"/>
    <col min="9211" max="9211" width="3.6640625" customWidth="1"/>
    <col min="9212" max="9212" width="30.5" bestFit="1" customWidth="1"/>
    <col min="9213" max="9213" width="11.33203125" bestFit="1" customWidth="1"/>
    <col min="9214" max="9214" width="10.33203125" bestFit="1" customWidth="1"/>
    <col min="9215" max="9215" width="11.33203125" bestFit="1" customWidth="1"/>
    <col min="9216" max="9221" width="10.33203125" bestFit="1" customWidth="1"/>
    <col min="9222" max="9222" width="10.83203125" bestFit="1" customWidth="1"/>
    <col min="9223" max="9223" width="10.33203125" bestFit="1" customWidth="1"/>
    <col min="9224" max="9224" width="10.83203125" bestFit="1" customWidth="1"/>
    <col min="9225" max="9225" width="10.33203125" bestFit="1" customWidth="1"/>
    <col min="9467" max="9467" width="3.6640625" customWidth="1"/>
    <col min="9468" max="9468" width="30.5" bestFit="1" customWidth="1"/>
    <col min="9469" max="9469" width="11.33203125" bestFit="1" customWidth="1"/>
    <col min="9470" max="9470" width="10.33203125" bestFit="1" customWidth="1"/>
    <col min="9471" max="9471" width="11.33203125" bestFit="1" customWidth="1"/>
    <col min="9472" max="9477" width="10.33203125" bestFit="1" customWidth="1"/>
    <col min="9478" max="9478" width="10.83203125" bestFit="1" customWidth="1"/>
    <col min="9479" max="9479" width="10.33203125" bestFit="1" customWidth="1"/>
    <col min="9480" max="9480" width="10.83203125" bestFit="1" customWidth="1"/>
    <col min="9481" max="9481" width="10.33203125" bestFit="1" customWidth="1"/>
    <col min="9723" max="9723" width="3.6640625" customWidth="1"/>
    <col min="9724" max="9724" width="30.5" bestFit="1" customWidth="1"/>
    <col min="9725" max="9725" width="11.33203125" bestFit="1" customWidth="1"/>
    <col min="9726" max="9726" width="10.33203125" bestFit="1" customWidth="1"/>
    <col min="9727" max="9727" width="11.33203125" bestFit="1" customWidth="1"/>
    <col min="9728" max="9733" width="10.33203125" bestFit="1" customWidth="1"/>
    <col min="9734" max="9734" width="10.83203125" bestFit="1" customWidth="1"/>
    <col min="9735" max="9735" width="10.33203125" bestFit="1" customWidth="1"/>
    <col min="9736" max="9736" width="10.83203125" bestFit="1" customWidth="1"/>
    <col min="9737" max="9737" width="10.33203125" bestFit="1" customWidth="1"/>
    <col min="9979" max="9979" width="3.6640625" customWidth="1"/>
    <col min="9980" max="9980" width="30.5" bestFit="1" customWidth="1"/>
    <col min="9981" max="9981" width="11.33203125" bestFit="1" customWidth="1"/>
    <col min="9982" max="9982" width="10.33203125" bestFit="1" customWidth="1"/>
    <col min="9983" max="9983" width="11.33203125" bestFit="1" customWidth="1"/>
    <col min="9984" max="9989" width="10.33203125" bestFit="1" customWidth="1"/>
    <col min="9990" max="9990" width="10.83203125" bestFit="1" customWidth="1"/>
    <col min="9991" max="9991" width="10.33203125" bestFit="1" customWidth="1"/>
    <col min="9992" max="9992" width="10.83203125" bestFit="1" customWidth="1"/>
    <col min="9993" max="9993" width="10.33203125" bestFit="1" customWidth="1"/>
    <col min="10235" max="10235" width="3.6640625" customWidth="1"/>
    <col min="10236" max="10236" width="30.5" bestFit="1" customWidth="1"/>
    <col min="10237" max="10237" width="11.33203125" bestFit="1" customWidth="1"/>
    <col min="10238" max="10238" width="10.33203125" bestFit="1" customWidth="1"/>
    <col min="10239" max="10239" width="11.33203125" bestFit="1" customWidth="1"/>
    <col min="10240" max="10245" width="10.33203125" bestFit="1" customWidth="1"/>
    <col min="10246" max="10246" width="10.83203125" bestFit="1" customWidth="1"/>
    <col min="10247" max="10247" width="10.33203125" bestFit="1" customWidth="1"/>
    <col min="10248" max="10248" width="10.83203125" bestFit="1" customWidth="1"/>
    <col min="10249" max="10249" width="10.33203125" bestFit="1" customWidth="1"/>
    <col min="10491" max="10491" width="3.6640625" customWidth="1"/>
    <col min="10492" max="10492" width="30.5" bestFit="1" customWidth="1"/>
    <col min="10493" max="10493" width="11.33203125" bestFit="1" customWidth="1"/>
    <col min="10494" max="10494" width="10.33203125" bestFit="1" customWidth="1"/>
    <col min="10495" max="10495" width="11.33203125" bestFit="1" customWidth="1"/>
    <col min="10496" max="10501" width="10.33203125" bestFit="1" customWidth="1"/>
    <col min="10502" max="10502" width="10.83203125" bestFit="1" customWidth="1"/>
    <col min="10503" max="10503" width="10.33203125" bestFit="1" customWidth="1"/>
    <col min="10504" max="10504" width="10.83203125" bestFit="1" customWidth="1"/>
    <col min="10505" max="10505" width="10.33203125" bestFit="1" customWidth="1"/>
    <col min="10747" max="10747" width="3.6640625" customWidth="1"/>
    <col min="10748" max="10748" width="30.5" bestFit="1" customWidth="1"/>
    <col min="10749" max="10749" width="11.33203125" bestFit="1" customWidth="1"/>
    <col min="10750" max="10750" width="10.33203125" bestFit="1" customWidth="1"/>
    <col min="10751" max="10751" width="11.33203125" bestFit="1" customWidth="1"/>
    <col min="10752" max="10757" width="10.33203125" bestFit="1" customWidth="1"/>
    <col min="10758" max="10758" width="10.83203125" bestFit="1" customWidth="1"/>
    <col min="10759" max="10759" width="10.33203125" bestFit="1" customWidth="1"/>
    <col min="10760" max="10760" width="10.83203125" bestFit="1" customWidth="1"/>
    <col min="10761" max="10761" width="10.33203125" bestFit="1" customWidth="1"/>
    <col min="11003" max="11003" width="3.6640625" customWidth="1"/>
    <col min="11004" max="11004" width="30.5" bestFit="1" customWidth="1"/>
    <col min="11005" max="11005" width="11.33203125" bestFit="1" customWidth="1"/>
    <col min="11006" max="11006" width="10.33203125" bestFit="1" customWidth="1"/>
    <col min="11007" max="11007" width="11.33203125" bestFit="1" customWidth="1"/>
    <col min="11008" max="11013" width="10.33203125" bestFit="1" customWidth="1"/>
    <col min="11014" max="11014" width="10.83203125" bestFit="1" customWidth="1"/>
    <col min="11015" max="11015" width="10.33203125" bestFit="1" customWidth="1"/>
    <col min="11016" max="11016" width="10.83203125" bestFit="1" customWidth="1"/>
    <col min="11017" max="11017" width="10.33203125" bestFit="1" customWidth="1"/>
    <col min="11259" max="11259" width="3.6640625" customWidth="1"/>
    <col min="11260" max="11260" width="30.5" bestFit="1" customWidth="1"/>
    <col min="11261" max="11261" width="11.33203125" bestFit="1" customWidth="1"/>
    <col min="11262" max="11262" width="10.33203125" bestFit="1" customWidth="1"/>
    <col min="11263" max="11263" width="11.33203125" bestFit="1" customWidth="1"/>
    <col min="11264" max="11269" width="10.33203125" bestFit="1" customWidth="1"/>
    <col min="11270" max="11270" width="10.83203125" bestFit="1" customWidth="1"/>
    <col min="11271" max="11271" width="10.33203125" bestFit="1" customWidth="1"/>
    <col min="11272" max="11272" width="10.83203125" bestFit="1" customWidth="1"/>
    <col min="11273" max="11273" width="10.33203125" bestFit="1" customWidth="1"/>
    <col min="11515" max="11515" width="3.6640625" customWidth="1"/>
    <col min="11516" max="11516" width="30.5" bestFit="1" customWidth="1"/>
    <col min="11517" max="11517" width="11.33203125" bestFit="1" customWidth="1"/>
    <col min="11518" max="11518" width="10.33203125" bestFit="1" customWidth="1"/>
    <col min="11519" max="11519" width="11.33203125" bestFit="1" customWidth="1"/>
    <col min="11520" max="11525" width="10.33203125" bestFit="1" customWidth="1"/>
    <col min="11526" max="11526" width="10.83203125" bestFit="1" customWidth="1"/>
    <col min="11527" max="11527" width="10.33203125" bestFit="1" customWidth="1"/>
    <col min="11528" max="11528" width="10.83203125" bestFit="1" customWidth="1"/>
    <col min="11529" max="11529" width="10.33203125" bestFit="1" customWidth="1"/>
    <col min="11771" max="11771" width="3.6640625" customWidth="1"/>
    <col min="11772" max="11772" width="30.5" bestFit="1" customWidth="1"/>
    <col min="11773" max="11773" width="11.33203125" bestFit="1" customWidth="1"/>
    <col min="11774" max="11774" width="10.33203125" bestFit="1" customWidth="1"/>
    <col min="11775" max="11775" width="11.33203125" bestFit="1" customWidth="1"/>
    <col min="11776" max="11781" width="10.33203125" bestFit="1" customWidth="1"/>
    <col min="11782" max="11782" width="10.83203125" bestFit="1" customWidth="1"/>
    <col min="11783" max="11783" width="10.33203125" bestFit="1" customWidth="1"/>
    <col min="11784" max="11784" width="10.83203125" bestFit="1" customWidth="1"/>
    <col min="11785" max="11785" width="10.33203125" bestFit="1" customWidth="1"/>
    <col min="12027" max="12027" width="3.6640625" customWidth="1"/>
    <col min="12028" max="12028" width="30.5" bestFit="1" customWidth="1"/>
    <col min="12029" max="12029" width="11.33203125" bestFit="1" customWidth="1"/>
    <col min="12030" max="12030" width="10.33203125" bestFit="1" customWidth="1"/>
    <col min="12031" max="12031" width="11.33203125" bestFit="1" customWidth="1"/>
    <col min="12032" max="12037" width="10.33203125" bestFit="1" customWidth="1"/>
    <col min="12038" max="12038" width="10.83203125" bestFit="1" customWidth="1"/>
    <col min="12039" max="12039" width="10.33203125" bestFit="1" customWidth="1"/>
    <col min="12040" max="12040" width="10.83203125" bestFit="1" customWidth="1"/>
    <col min="12041" max="12041" width="10.33203125" bestFit="1" customWidth="1"/>
    <col min="12283" max="12283" width="3.6640625" customWidth="1"/>
    <col min="12284" max="12284" width="30.5" bestFit="1" customWidth="1"/>
    <col min="12285" max="12285" width="11.33203125" bestFit="1" customWidth="1"/>
    <col min="12286" max="12286" width="10.33203125" bestFit="1" customWidth="1"/>
    <col min="12287" max="12287" width="11.33203125" bestFit="1" customWidth="1"/>
    <col min="12288" max="12293" width="10.33203125" bestFit="1" customWidth="1"/>
    <col min="12294" max="12294" width="10.83203125" bestFit="1" customWidth="1"/>
    <col min="12295" max="12295" width="10.33203125" bestFit="1" customWidth="1"/>
    <col min="12296" max="12296" width="10.83203125" bestFit="1" customWidth="1"/>
    <col min="12297" max="12297" width="10.33203125" bestFit="1" customWidth="1"/>
    <col min="12539" max="12539" width="3.6640625" customWidth="1"/>
    <col min="12540" max="12540" width="30.5" bestFit="1" customWidth="1"/>
    <col min="12541" max="12541" width="11.33203125" bestFit="1" customWidth="1"/>
    <col min="12542" max="12542" width="10.33203125" bestFit="1" customWidth="1"/>
    <col min="12543" max="12543" width="11.33203125" bestFit="1" customWidth="1"/>
    <col min="12544" max="12549" width="10.33203125" bestFit="1" customWidth="1"/>
    <col min="12550" max="12550" width="10.83203125" bestFit="1" customWidth="1"/>
    <col min="12551" max="12551" width="10.33203125" bestFit="1" customWidth="1"/>
    <col min="12552" max="12552" width="10.83203125" bestFit="1" customWidth="1"/>
    <col min="12553" max="12553" width="10.33203125" bestFit="1" customWidth="1"/>
    <col min="12795" max="12795" width="3.6640625" customWidth="1"/>
    <col min="12796" max="12796" width="30.5" bestFit="1" customWidth="1"/>
    <col min="12797" max="12797" width="11.33203125" bestFit="1" customWidth="1"/>
    <col min="12798" max="12798" width="10.33203125" bestFit="1" customWidth="1"/>
    <col min="12799" max="12799" width="11.33203125" bestFit="1" customWidth="1"/>
    <col min="12800" max="12805" width="10.33203125" bestFit="1" customWidth="1"/>
    <col min="12806" max="12806" width="10.83203125" bestFit="1" customWidth="1"/>
    <col min="12807" max="12807" width="10.33203125" bestFit="1" customWidth="1"/>
    <col min="12808" max="12808" width="10.83203125" bestFit="1" customWidth="1"/>
    <col min="12809" max="12809" width="10.33203125" bestFit="1" customWidth="1"/>
    <col min="13051" max="13051" width="3.6640625" customWidth="1"/>
    <col min="13052" max="13052" width="30.5" bestFit="1" customWidth="1"/>
    <col min="13053" max="13053" width="11.33203125" bestFit="1" customWidth="1"/>
    <col min="13054" max="13054" width="10.33203125" bestFit="1" customWidth="1"/>
    <col min="13055" max="13055" width="11.33203125" bestFit="1" customWidth="1"/>
    <col min="13056" max="13061" width="10.33203125" bestFit="1" customWidth="1"/>
    <col min="13062" max="13062" width="10.83203125" bestFit="1" customWidth="1"/>
    <col min="13063" max="13063" width="10.33203125" bestFit="1" customWidth="1"/>
    <col min="13064" max="13064" width="10.83203125" bestFit="1" customWidth="1"/>
    <col min="13065" max="13065" width="10.33203125" bestFit="1" customWidth="1"/>
    <col min="13307" max="13307" width="3.6640625" customWidth="1"/>
    <col min="13308" max="13308" width="30.5" bestFit="1" customWidth="1"/>
    <col min="13309" max="13309" width="11.33203125" bestFit="1" customWidth="1"/>
    <col min="13310" max="13310" width="10.33203125" bestFit="1" customWidth="1"/>
    <col min="13311" max="13311" width="11.33203125" bestFit="1" customWidth="1"/>
    <col min="13312" max="13317" width="10.33203125" bestFit="1" customWidth="1"/>
    <col min="13318" max="13318" width="10.83203125" bestFit="1" customWidth="1"/>
    <col min="13319" max="13319" width="10.33203125" bestFit="1" customWidth="1"/>
    <col min="13320" max="13320" width="10.83203125" bestFit="1" customWidth="1"/>
    <col min="13321" max="13321" width="10.33203125" bestFit="1" customWidth="1"/>
    <col min="13563" max="13563" width="3.6640625" customWidth="1"/>
    <col min="13564" max="13564" width="30.5" bestFit="1" customWidth="1"/>
    <col min="13565" max="13565" width="11.33203125" bestFit="1" customWidth="1"/>
    <col min="13566" max="13566" width="10.33203125" bestFit="1" customWidth="1"/>
    <col min="13567" max="13567" width="11.33203125" bestFit="1" customWidth="1"/>
    <col min="13568" max="13573" width="10.33203125" bestFit="1" customWidth="1"/>
    <col min="13574" max="13574" width="10.83203125" bestFit="1" customWidth="1"/>
    <col min="13575" max="13575" width="10.33203125" bestFit="1" customWidth="1"/>
    <col min="13576" max="13576" width="10.83203125" bestFit="1" customWidth="1"/>
    <col min="13577" max="13577" width="10.33203125" bestFit="1" customWidth="1"/>
    <col min="13819" max="13819" width="3.6640625" customWidth="1"/>
    <col min="13820" max="13820" width="30.5" bestFit="1" customWidth="1"/>
    <col min="13821" max="13821" width="11.33203125" bestFit="1" customWidth="1"/>
    <col min="13822" max="13822" width="10.33203125" bestFit="1" customWidth="1"/>
    <col min="13823" max="13823" width="11.33203125" bestFit="1" customWidth="1"/>
    <col min="13824" max="13829" width="10.33203125" bestFit="1" customWidth="1"/>
    <col min="13830" max="13830" width="10.83203125" bestFit="1" customWidth="1"/>
    <col min="13831" max="13831" width="10.33203125" bestFit="1" customWidth="1"/>
    <col min="13832" max="13832" width="10.83203125" bestFit="1" customWidth="1"/>
    <col min="13833" max="13833" width="10.33203125" bestFit="1" customWidth="1"/>
    <col min="14075" max="14075" width="3.6640625" customWidth="1"/>
    <col min="14076" max="14076" width="30.5" bestFit="1" customWidth="1"/>
    <col min="14077" max="14077" width="11.33203125" bestFit="1" customWidth="1"/>
    <col min="14078" max="14078" width="10.33203125" bestFit="1" customWidth="1"/>
    <col min="14079" max="14079" width="11.33203125" bestFit="1" customWidth="1"/>
    <col min="14080" max="14085" width="10.33203125" bestFit="1" customWidth="1"/>
    <col min="14086" max="14086" width="10.83203125" bestFit="1" customWidth="1"/>
    <col min="14087" max="14087" width="10.33203125" bestFit="1" customWidth="1"/>
    <col min="14088" max="14088" width="10.83203125" bestFit="1" customWidth="1"/>
    <col min="14089" max="14089" width="10.33203125" bestFit="1" customWidth="1"/>
    <col min="14331" max="14331" width="3.6640625" customWidth="1"/>
    <col min="14332" max="14332" width="30.5" bestFit="1" customWidth="1"/>
    <col min="14333" max="14333" width="11.33203125" bestFit="1" customWidth="1"/>
    <col min="14334" max="14334" width="10.33203125" bestFit="1" customWidth="1"/>
    <col min="14335" max="14335" width="11.33203125" bestFit="1" customWidth="1"/>
    <col min="14336" max="14341" width="10.33203125" bestFit="1" customWidth="1"/>
    <col min="14342" max="14342" width="10.83203125" bestFit="1" customWidth="1"/>
    <col min="14343" max="14343" width="10.33203125" bestFit="1" customWidth="1"/>
    <col min="14344" max="14344" width="10.83203125" bestFit="1" customWidth="1"/>
    <col min="14345" max="14345" width="10.33203125" bestFit="1" customWidth="1"/>
    <col min="14587" max="14587" width="3.6640625" customWidth="1"/>
    <col min="14588" max="14588" width="30.5" bestFit="1" customWidth="1"/>
    <col min="14589" max="14589" width="11.33203125" bestFit="1" customWidth="1"/>
    <col min="14590" max="14590" width="10.33203125" bestFit="1" customWidth="1"/>
    <col min="14591" max="14591" width="11.33203125" bestFit="1" customWidth="1"/>
    <col min="14592" max="14597" width="10.33203125" bestFit="1" customWidth="1"/>
    <col min="14598" max="14598" width="10.83203125" bestFit="1" customWidth="1"/>
    <col min="14599" max="14599" width="10.33203125" bestFit="1" customWidth="1"/>
    <col min="14600" max="14600" width="10.83203125" bestFit="1" customWidth="1"/>
    <col min="14601" max="14601" width="10.33203125" bestFit="1" customWidth="1"/>
    <col min="14843" max="14843" width="3.6640625" customWidth="1"/>
    <col min="14844" max="14844" width="30.5" bestFit="1" customWidth="1"/>
    <col min="14845" max="14845" width="11.33203125" bestFit="1" customWidth="1"/>
    <col min="14846" max="14846" width="10.33203125" bestFit="1" customWidth="1"/>
    <col min="14847" max="14847" width="11.33203125" bestFit="1" customWidth="1"/>
    <col min="14848" max="14853" width="10.33203125" bestFit="1" customWidth="1"/>
    <col min="14854" max="14854" width="10.83203125" bestFit="1" customWidth="1"/>
    <col min="14855" max="14855" width="10.33203125" bestFit="1" customWidth="1"/>
    <col min="14856" max="14856" width="10.83203125" bestFit="1" customWidth="1"/>
    <col min="14857" max="14857" width="10.33203125" bestFit="1" customWidth="1"/>
    <col min="15099" max="15099" width="3.6640625" customWidth="1"/>
    <col min="15100" max="15100" width="30.5" bestFit="1" customWidth="1"/>
    <col min="15101" max="15101" width="11.33203125" bestFit="1" customWidth="1"/>
    <col min="15102" max="15102" width="10.33203125" bestFit="1" customWidth="1"/>
    <col min="15103" max="15103" width="11.33203125" bestFit="1" customWidth="1"/>
    <col min="15104" max="15109" width="10.33203125" bestFit="1" customWidth="1"/>
    <col min="15110" max="15110" width="10.83203125" bestFit="1" customWidth="1"/>
    <col min="15111" max="15111" width="10.33203125" bestFit="1" customWidth="1"/>
    <col min="15112" max="15112" width="10.83203125" bestFit="1" customWidth="1"/>
    <col min="15113" max="15113" width="10.33203125" bestFit="1" customWidth="1"/>
    <col min="15355" max="15355" width="3.6640625" customWidth="1"/>
    <col min="15356" max="15356" width="30.5" bestFit="1" customWidth="1"/>
    <col min="15357" max="15357" width="11.33203125" bestFit="1" customWidth="1"/>
    <col min="15358" max="15358" width="10.33203125" bestFit="1" customWidth="1"/>
    <col min="15359" max="15359" width="11.33203125" bestFit="1" customWidth="1"/>
    <col min="15360" max="15365" width="10.33203125" bestFit="1" customWidth="1"/>
    <col min="15366" max="15366" width="10.83203125" bestFit="1" customWidth="1"/>
    <col min="15367" max="15367" width="10.33203125" bestFit="1" customWidth="1"/>
    <col min="15368" max="15368" width="10.83203125" bestFit="1" customWidth="1"/>
    <col min="15369" max="15369" width="10.33203125" bestFit="1" customWidth="1"/>
    <col min="15611" max="15611" width="3.6640625" customWidth="1"/>
    <col min="15612" max="15612" width="30.5" bestFit="1" customWidth="1"/>
    <col min="15613" max="15613" width="11.33203125" bestFit="1" customWidth="1"/>
    <col min="15614" max="15614" width="10.33203125" bestFit="1" customWidth="1"/>
    <col min="15615" max="15615" width="11.33203125" bestFit="1" customWidth="1"/>
    <col min="15616" max="15621" width="10.33203125" bestFit="1" customWidth="1"/>
    <col min="15622" max="15622" width="10.83203125" bestFit="1" customWidth="1"/>
    <col min="15623" max="15623" width="10.33203125" bestFit="1" customWidth="1"/>
    <col min="15624" max="15624" width="10.83203125" bestFit="1" customWidth="1"/>
    <col min="15625" max="15625" width="10.33203125" bestFit="1" customWidth="1"/>
    <col min="15867" max="15867" width="3.6640625" customWidth="1"/>
    <col min="15868" max="15868" width="30.5" bestFit="1" customWidth="1"/>
    <col min="15869" max="15869" width="11.33203125" bestFit="1" customWidth="1"/>
    <col min="15870" max="15870" width="10.33203125" bestFit="1" customWidth="1"/>
    <col min="15871" max="15871" width="11.33203125" bestFit="1" customWidth="1"/>
    <col min="15872" max="15877" width="10.33203125" bestFit="1" customWidth="1"/>
    <col min="15878" max="15878" width="10.83203125" bestFit="1" customWidth="1"/>
    <col min="15879" max="15879" width="10.33203125" bestFit="1" customWidth="1"/>
    <col min="15880" max="15880" width="10.83203125" bestFit="1" customWidth="1"/>
    <col min="15881" max="15881" width="10.33203125" bestFit="1" customWidth="1"/>
    <col min="16123" max="16123" width="3.6640625" customWidth="1"/>
    <col min="16124" max="16124" width="30.5" bestFit="1" customWidth="1"/>
    <col min="16125" max="16125" width="11.33203125" bestFit="1" customWidth="1"/>
    <col min="16126" max="16126" width="10.33203125" bestFit="1" customWidth="1"/>
    <col min="16127" max="16127" width="11.33203125" bestFit="1" customWidth="1"/>
    <col min="16128" max="16133" width="10.33203125" bestFit="1" customWidth="1"/>
    <col min="16134" max="16134" width="10.83203125" bestFit="1" customWidth="1"/>
    <col min="16135" max="16135" width="10.33203125" bestFit="1" customWidth="1"/>
    <col min="16136" max="16136" width="10.83203125" bestFit="1" customWidth="1"/>
    <col min="16137" max="16137" width="10.33203125" bestFit="1" customWidth="1"/>
  </cols>
  <sheetData>
    <row r="1" spans="1:33">
      <c r="A1" s="25" t="s">
        <v>204</v>
      </c>
    </row>
    <row r="2" spans="1:33">
      <c r="A2" s="25" t="s">
        <v>79</v>
      </c>
    </row>
    <row r="4" spans="1:33">
      <c r="B4" s="8" t="s">
        <v>197</v>
      </c>
      <c r="C4" s="60">
        <v>65</v>
      </c>
      <c r="D4" s="60">
        <v>66</v>
      </c>
      <c r="E4" s="60">
        <v>67</v>
      </c>
      <c r="F4" s="60">
        <v>68</v>
      </c>
      <c r="G4" s="60">
        <v>69</v>
      </c>
      <c r="H4" s="60">
        <v>70</v>
      </c>
      <c r="I4" s="60">
        <v>71</v>
      </c>
      <c r="J4" s="60">
        <v>72</v>
      </c>
      <c r="K4" s="60">
        <v>73</v>
      </c>
      <c r="L4" s="60">
        <v>74</v>
      </c>
      <c r="M4" s="60">
        <v>75</v>
      </c>
      <c r="N4" s="60">
        <v>76</v>
      </c>
      <c r="O4" s="60">
        <v>77</v>
      </c>
      <c r="P4" s="1">
        <v>78</v>
      </c>
      <c r="Q4" s="1">
        <v>79</v>
      </c>
      <c r="R4" s="1">
        <v>80</v>
      </c>
      <c r="S4" s="1">
        <v>81</v>
      </c>
      <c r="T4" s="1">
        <v>82</v>
      </c>
      <c r="U4" s="1">
        <v>83</v>
      </c>
      <c r="V4" s="1">
        <v>84</v>
      </c>
      <c r="W4" s="1">
        <v>85</v>
      </c>
      <c r="X4" s="1">
        <v>86</v>
      </c>
      <c r="Y4" s="1">
        <v>87</v>
      </c>
      <c r="Z4" s="1">
        <v>88</v>
      </c>
      <c r="AA4" s="1">
        <v>89</v>
      </c>
      <c r="AB4" s="1">
        <v>90</v>
      </c>
      <c r="AC4" s="1">
        <v>91</v>
      </c>
      <c r="AD4" s="1">
        <v>92</v>
      </c>
      <c r="AE4" s="1" t="s">
        <v>59</v>
      </c>
      <c r="AF4" s="1" t="s">
        <v>59</v>
      </c>
      <c r="AG4" s="11"/>
    </row>
    <row r="5" spans="1:33">
      <c r="B5" s="8" t="s">
        <v>198</v>
      </c>
      <c r="C5" s="61">
        <v>65</v>
      </c>
      <c r="D5" s="61">
        <v>66</v>
      </c>
      <c r="E5" s="61">
        <v>67</v>
      </c>
      <c r="F5" s="61">
        <v>68</v>
      </c>
      <c r="G5" s="61">
        <v>69</v>
      </c>
      <c r="H5" s="61">
        <v>70</v>
      </c>
      <c r="I5" s="61">
        <v>71</v>
      </c>
      <c r="J5" s="61">
        <v>72</v>
      </c>
      <c r="K5" s="61">
        <v>73</v>
      </c>
      <c r="L5" s="61">
        <v>74</v>
      </c>
      <c r="M5" s="61">
        <v>75</v>
      </c>
      <c r="N5" s="61">
        <v>76</v>
      </c>
      <c r="O5" s="61">
        <v>77</v>
      </c>
      <c r="P5" s="21">
        <v>78</v>
      </c>
      <c r="Q5" s="21">
        <v>79</v>
      </c>
      <c r="R5" s="21">
        <v>80</v>
      </c>
      <c r="S5" s="21">
        <v>81</v>
      </c>
      <c r="T5" s="21">
        <v>82</v>
      </c>
      <c r="U5" s="21">
        <v>83</v>
      </c>
      <c r="V5" s="21">
        <v>84</v>
      </c>
      <c r="W5" s="21">
        <v>85</v>
      </c>
      <c r="X5" s="21">
        <v>86</v>
      </c>
      <c r="Y5" s="21">
        <v>87</v>
      </c>
      <c r="Z5" s="21">
        <v>88</v>
      </c>
      <c r="AA5" s="21">
        <v>89</v>
      </c>
      <c r="AB5" s="21">
        <v>90</v>
      </c>
      <c r="AC5" s="21">
        <v>91</v>
      </c>
      <c r="AD5" s="21">
        <v>92</v>
      </c>
      <c r="AE5" s="21">
        <v>93</v>
      </c>
      <c r="AF5" s="21">
        <v>94</v>
      </c>
    </row>
    <row r="6" spans="1:33">
      <c r="B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33">
      <c r="B7" s="1"/>
      <c r="C7" s="10" t="s">
        <v>123</v>
      </c>
      <c r="D7" s="10" t="s">
        <v>124</v>
      </c>
      <c r="E7" s="10" t="s">
        <v>125</v>
      </c>
      <c r="F7" s="10" t="s">
        <v>126</v>
      </c>
      <c r="G7" s="10" t="s">
        <v>127</v>
      </c>
      <c r="H7" s="10" t="s">
        <v>128</v>
      </c>
      <c r="I7" s="10" t="s">
        <v>129</v>
      </c>
      <c r="J7" s="10" t="s">
        <v>130</v>
      </c>
      <c r="K7" s="10" t="s">
        <v>131</v>
      </c>
      <c r="L7" s="10" t="s">
        <v>132</v>
      </c>
      <c r="M7" s="10" t="s">
        <v>133</v>
      </c>
      <c r="N7" s="10" t="s">
        <v>134</v>
      </c>
      <c r="O7" s="10" t="s">
        <v>135</v>
      </c>
      <c r="P7" s="10" t="s">
        <v>136</v>
      </c>
      <c r="Q7" s="10" t="s">
        <v>137</v>
      </c>
      <c r="R7" s="10" t="s">
        <v>138</v>
      </c>
      <c r="S7" s="10" t="s">
        <v>139</v>
      </c>
      <c r="T7" s="10" t="s">
        <v>140</v>
      </c>
      <c r="U7" s="10" t="s">
        <v>141</v>
      </c>
      <c r="V7" s="10" t="s">
        <v>142</v>
      </c>
      <c r="W7" s="10" t="s">
        <v>143</v>
      </c>
      <c r="X7" s="10" t="s">
        <v>144</v>
      </c>
      <c r="Y7" s="10" t="s">
        <v>145</v>
      </c>
      <c r="Z7" s="10" t="s">
        <v>146</v>
      </c>
      <c r="AA7" s="10" t="s">
        <v>147</v>
      </c>
      <c r="AB7" s="10" t="s">
        <v>148</v>
      </c>
      <c r="AC7" s="10" t="s">
        <v>149</v>
      </c>
      <c r="AD7" s="10" t="s">
        <v>150</v>
      </c>
      <c r="AE7" s="10" t="s">
        <v>151</v>
      </c>
      <c r="AF7" s="10" t="s">
        <v>152</v>
      </c>
    </row>
    <row r="8" spans="1:33">
      <c r="B8" s="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3">
      <c r="A9" t="s">
        <v>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3">
      <c r="A10" s="33" t="s">
        <v>88</v>
      </c>
      <c r="C10" s="2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3">
      <c r="B11" t="s">
        <v>52</v>
      </c>
      <c r="C11" s="20">
        <v>35000</v>
      </c>
      <c r="D11" s="17">
        <f>(C11*Assumptions!$C$4)+C11</f>
        <v>35525</v>
      </c>
      <c r="E11" s="17">
        <f>(D11*Assumptions!$C$4)+D11</f>
        <v>36057.875</v>
      </c>
      <c r="F11" s="17">
        <f>(E11*Assumptions!$C$4)+E11</f>
        <v>36598.743125000001</v>
      </c>
      <c r="G11" s="17">
        <f>(F11*Assumptions!$C$4)+F11</f>
        <v>37147.724271874999</v>
      </c>
      <c r="H11" s="17">
        <f>(G11*Assumptions!$C$4)+G11</f>
        <v>37704.940135953126</v>
      </c>
      <c r="I11" s="17">
        <f>(H11*Assumptions!$C$4)+H11</f>
        <v>38270.514237992422</v>
      </c>
      <c r="J11" s="17">
        <f>(I11*Assumptions!$C$4)+I11</f>
        <v>38844.571951562306</v>
      </c>
      <c r="K11" s="17">
        <f>(J11*Assumptions!$C$4)+J11</f>
        <v>39427.240530835741</v>
      </c>
      <c r="L11" s="17">
        <f>(K11*Assumptions!$C$4)+K11</f>
        <v>40018.649138798275</v>
      </c>
      <c r="M11" s="17">
        <f>(L11*Assumptions!$C$4)+L11</f>
        <v>40618.92887588025</v>
      </c>
      <c r="N11" s="17">
        <f>(M11*Assumptions!$C$4)+M11</f>
        <v>41228.212809018456</v>
      </c>
      <c r="O11" s="17">
        <f>(N11*Assumptions!$C$4)+N11</f>
        <v>41846.636001153733</v>
      </c>
      <c r="P11" s="17">
        <f>(O11*Assumptions!$C$4)+O11</f>
        <v>42474.335541171036</v>
      </c>
      <c r="Q11" s="17">
        <f>(P11*Assumptions!$C$4)+P11</f>
        <v>43111.450574288603</v>
      </c>
      <c r="R11" s="17">
        <f>(Q11*Assumptions!$C$4)+Q11</f>
        <v>43758.122332902931</v>
      </c>
      <c r="S11" s="17">
        <f>(R11*Assumptions!$C$4)+R11</f>
        <v>44414.494167896475</v>
      </c>
      <c r="T11" s="17">
        <f>(S11*Assumptions!$C$4)+S11</f>
        <v>45080.711580414922</v>
      </c>
      <c r="U11" s="17">
        <f>(T11*Assumptions!$C$4)+T11</f>
        <v>45756.922254121142</v>
      </c>
      <c r="V11" s="17">
        <f>(U11*Assumptions!$C$4)+U11</f>
        <v>46443.276087932958</v>
      </c>
      <c r="W11" s="17">
        <f>(V11*Assumptions!$C$4)+V11</f>
        <v>47139.925229251952</v>
      </c>
      <c r="X11" s="17">
        <f>(W11*Assumptions!$C$4)+W11</f>
        <v>47847.024107690733</v>
      </c>
      <c r="Y11" s="17">
        <f>(X11*Assumptions!$C$4)+X11</f>
        <v>48564.729469306098</v>
      </c>
      <c r="Z11" s="17">
        <f>(Y11*Assumptions!$C$4)+Y11</f>
        <v>49293.200411345686</v>
      </c>
      <c r="AA11" s="17">
        <f>(Z11*Assumptions!$C$4)+Z11</f>
        <v>50032.598417515874</v>
      </c>
      <c r="AB11" s="17">
        <f>(AA11*Assumptions!$C$4)+AA11</f>
        <v>50783.087393778609</v>
      </c>
      <c r="AC11" s="17">
        <f>(AB11*Assumptions!$C$4)+AB11</f>
        <v>51544.83370468529</v>
      </c>
      <c r="AD11" s="17">
        <f>(AC11*Assumptions!$C$4)+AC11</f>
        <v>52318.006210255568</v>
      </c>
      <c r="AE11" s="17">
        <f>(AD11*Assumptions!$C$4)+AD11</f>
        <v>53102.776303409402</v>
      </c>
      <c r="AF11" s="17">
        <f>(AE11*Assumptions!$C$4)+AE11</f>
        <v>53899.317947960546</v>
      </c>
    </row>
    <row r="12" spans="1:33">
      <c r="B12" t="s">
        <v>53</v>
      </c>
      <c r="C12" s="20">
        <f>107500-C11</f>
        <v>72500</v>
      </c>
      <c r="D12" s="17">
        <f>(C12*Assumptions!$C$6)+C12</f>
        <v>75762.5</v>
      </c>
      <c r="E12" s="17">
        <f>(D12*Assumptions!$C$6)+D12</f>
        <v>79171.8125</v>
      </c>
      <c r="F12" s="17">
        <f>(E12*Assumptions!$C$6)+E12</f>
        <v>82734.544062500005</v>
      </c>
      <c r="G12" s="17">
        <f>(F12*Assumptions!$C$6)+F12</f>
        <v>86457.598545312503</v>
      </c>
      <c r="H12" s="17">
        <f>(G12*Assumptions!$C$6)+G12</f>
        <v>90348.190479851561</v>
      </c>
      <c r="I12" s="17">
        <f>(H12*Assumptions!$C$6)+H12</f>
        <v>94413.859051444888</v>
      </c>
      <c r="J12" s="17">
        <f>(I12*Assumptions!$C$6)+I12</f>
        <v>98662.482708759911</v>
      </c>
      <c r="K12" s="17">
        <f>(J12*Assumptions!$C$6)+J12</f>
        <v>103102.2944306541</v>
      </c>
      <c r="L12" s="17">
        <f>(K12*Assumptions!$C$6)+K12</f>
        <v>107741.89768003354</v>
      </c>
      <c r="M12" s="17">
        <f>(L12*Assumptions!$C$6)+L12</f>
        <v>112590.28307563504</v>
      </c>
      <c r="N12" s="17">
        <f>(M12*Assumptions!$C$6)+M12</f>
        <v>117656.84581403862</v>
      </c>
      <c r="O12" s="17">
        <f>(N12*Assumptions!$C$6)+N12</f>
        <v>122951.40387567035</v>
      </c>
      <c r="P12" s="17">
        <f>(O12*Assumptions!$C$6)+O12</f>
        <v>128484.21705007552</v>
      </c>
      <c r="Q12" s="17">
        <f>(P12*Assumptions!$C$6)+P12</f>
        <v>134266.00681732892</v>
      </c>
      <c r="R12" s="17">
        <f>(Q12*Assumptions!$C$6)+Q12</f>
        <v>140307.97712410873</v>
      </c>
      <c r="S12" s="17">
        <f>(R12*Assumptions!$C$6)+R12</f>
        <v>146621.83609469363</v>
      </c>
      <c r="T12" s="17">
        <f>(S12*Assumptions!$C$6)+S12</f>
        <v>153219.81871895483</v>
      </c>
      <c r="U12" s="17">
        <f>(T12*Assumptions!$C$6)+T12</f>
        <v>160114.71056130779</v>
      </c>
      <c r="V12" s="17">
        <f>(U12*Assumptions!$C$6)+U12</f>
        <v>167319.87253656663</v>
      </c>
      <c r="W12" s="17">
        <f>(V12*Assumptions!$C$6)+V12</f>
        <v>174849.26680071212</v>
      </c>
      <c r="X12" s="17">
        <f>(W12*Assumptions!$C$6)+W12</f>
        <v>182717.48380674416</v>
      </c>
      <c r="Y12" s="17">
        <f>(X12*Assumptions!$C$6)+X12</f>
        <v>190939.77057804764</v>
      </c>
      <c r="Z12" s="17">
        <f>(Y12*Assumptions!$C$6)+Y12</f>
        <v>199532.06025405979</v>
      </c>
      <c r="AA12" s="17">
        <f>(Z12*Assumptions!$C$6)+Z12</f>
        <v>208511.00296549249</v>
      </c>
      <c r="AB12" s="17">
        <f>(AA12*Assumptions!$C$6)+AA12</f>
        <v>217893.99809893966</v>
      </c>
      <c r="AC12" s="17">
        <f>(AB12*Assumptions!$C$6)+AB12</f>
        <v>227699.22801339196</v>
      </c>
      <c r="AD12" s="17">
        <f>(AC12*Assumptions!$C$6)+AC12</f>
        <v>237945.69327399461</v>
      </c>
      <c r="AE12" s="17">
        <f>(AD12*Assumptions!$C$6)+AD12</f>
        <v>248653.24947132435</v>
      </c>
      <c r="AF12" s="17">
        <f>(AE12*Assumptions!$C$6)+AE12</f>
        <v>259842.64569753394</v>
      </c>
    </row>
    <row r="13" spans="1:33">
      <c r="B13" t="s">
        <v>1</v>
      </c>
      <c r="C13" s="20">
        <v>0</v>
      </c>
      <c r="D13" s="17">
        <v>0</v>
      </c>
      <c r="E13" s="17">
        <v>0</v>
      </c>
      <c r="F13" s="17">
        <v>0</v>
      </c>
      <c r="G13" s="17">
        <v>0</v>
      </c>
      <c r="H13" s="20">
        <f>'Balance Sheet'!I24/27.4</f>
        <v>115419.45017883214</v>
      </c>
      <c r="I13" s="20">
        <f>'Balance Sheet'!J24/26.5</f>
        <v>126558.32879818114</v>
      </c>
      <c r="J13" s="20">
        <f>'Balance Sheet'!K24/25.6</f>
        <v>134089.01713872445</v>
      </c>
      <c r="K13" s="20">
        <f>'Balance Sheet'!L24/24.7</f>
        <v>141882.09475912369</v>
      </c>
      <c r="L13" s="20">
        <f>'Balance Sheet'!M24/23.8</f>
        <v>150110.19524438353</v>
      </c>
      <c r="M13" s="20">
        <f>'Balance Sheet'!N24/22.9</f>
        <v>158802.83778081383</v>
      </c>
      <c r="N13" s="20">
        <f>'Balance Sheet'!O24/22</f>
        <v>167984.69442420127</v>
      </c>
      <c r="O13" s="20">
        <f>'Balance Sheet'!P24/21.2</f>
        <v>176843.02197758071</v>
      </c>
      <c r="P13" s="20">
        <f>'Balance Sheet'!Q24/20.3</f>
        <v>186992.73959559313</v>
      </c>
      <c r="Q13" s="20">
        <f>'Balance Sheet'!R24/19.5</f>
        <v>196731.08550367883</v>
      </c>
      <c r="R13" s="17">
        <f>'Balance Sheet'!S24/18.7</f>
        <v>206856.64349677609</v>
      </c>
      <c r="S13" s="17">
        <f>'Balance Sheet'!T24/17.9</f>
        <v>217417.73389716182</v>
      </c>
      <c r="T13" s="17">
        <f>'Balance Sheet'!U24/17.1</f>
        <v>228421.99069345996</v>
      </c>
      <c r="U13" s="17">
        <f>'Balance Sheet'!V24/16.3</f>
        <v>239872.03713979531</v>
      </c>
      <c r="V13" s="17">
        <f>'Balance Sheet'!W24/15.5</f>
        <v>251766.56435911718</v>
      </c>
      <c r="W13" s="17">
        <f>'Balance Sheet'!X24/14.8</f>
        <v>262314.88466568326</v>
      </c>
      <c r="X13" s="17">
        <f>'Balance Sheet'!Y24/14.1</f>
        <v>272930.73421379959</v>
      </c>
      <c r="Y13" s="17">
        <f>'Balance Sheet'!Z24/13.4</f>
        <v>283669.32655327051</v>
      </c>
      <c r="Z13" s="17">
        <f>'Balance Sheet'!AA24/12.7</f>
        <v>294482.87685795489</v>
      </c>
      <c r="AA13" s="17">
        <f>'Balance Sheet'!AB24/12</f>
        <v>305303.25017627678</v>
      </c>
      <c r="AB13" s="17">
        <f>'Balance Sheet'!AC24/11.4</f>
        <v>313272.41164673754</v>
      </c>
      <c r="AC13" s="17">
        <f>'Balance Sheet'!AD24/10.8</f>
        <v>320552.07195854845</v>
      </c>
      <c r="AD13" s="17">
        <f>'Balance Sheet'!AE24/10.2</f>
        <v>327216.80033685506</v>
      </c>
      <c r="AE13" s="17">
        <f>'Balance Sheet'!AF24/9.6</f>
        <v>333133.63010062656</v>
      </c>
      <c r="AF13" s="17">
        <f>'Balance Sheet'!AG24/9.1</f>
        <v>334408.57269746263</v>
      </c>
    </row>
    <row r="14" spans="1:33">
      <c r="B14" t="s">
        <v>2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20">
        <f>40212/2</f>
        <v>20106</v>
      </c>
      <c r="I14" s="20">
        <v>41205</v>
      </c>
      <c r="J14" s="20">
        <f>(I14*Assumptions!$C$10)+I14</f>
        <v>42222.763500000001</v>
      </c>
      <c r="K14" s="20">
        <f>(J14*Assumptions!$C$10)+J14</f>
        <v>43265.665758449999</v>
      </c>
      <c r="L14" s="20">
        <f>(K14*Assumptions!$C$10)+K14</f>
        <v>44334.327702683717</v>
      </c>
      <c r="M14" s="20">
        <f>(L14*Assumptions!$C$10)+L14</f>
        <v>45429.385596940003</v>
      </c>
      <c r="N14" s="20">
        <f>(M14*Assumptions!$C$10)+M14</f>
        <v>46551.491421184423</v>
      </c>
      <c r="O14" s="20">
        <f>(N14*Assumptions!$C$10)+N14</f>
        <v>47701.313259287679</v>
      </c>
      <c r="P14" s="20">
        <f>(O14*Assumptions!$C$10)+O14</f>
        <v>48879.535696792082</v>
      </c>
      <c r="Q14" s="20">
        <f>(P14*Assumptions!$C$10)+P14</f>
        <v>50086.860228502846</v>
      </c>
      <c r="R14" s="20">
        <f>(Q14*Assumptions!$C$10)+Q14</f>
        <v>51324.005676146866</v>
      </c>
      <c r="S14" s="20">
        <f>(R14*Assumptions!$C$10)+R14</f>
        <v>52591.708616347692</v>
      </c>
      <c r="T14" s="20">
        <f>(S14*Assumptions!$C$10)+S14</f>
        <v>53890.723819171479</v>
      </c>
      <c r="U14" s="20">
        <f>(T14*Assumptions!$C$10)+T14</f>
        <v>55221.824697505013</v>
      </c>
      <c r="V14" s="20">
        <f>(U14*Assumptions!$C$10)+U14</f>
        <v>56585.803767533391</v>
      </c>
      <c r="W14" s="20">
        <f>(V14*Assumptions!$C$10)+V14</f>
        <v>57983.473120591465</v>
      </c>
      <c r="X14" s="20">
        <f>(W14*Assumptions!$C$10)+W14</f>
        <v>59415.664906670077</v>
      </c>
      <c r="Y14" s="20">
        <f>(X14*Assumptions!$C$10)+X14</f>
        <v>60883.231829864832</v>
      </c>
      <c r="Z14" s="20">
        <f>(Y14*Assumptions!$C$10)+Y14</f>
        <v>62387.047656062496</v>
      </c>
      <c r="AA14" s="20">
        <f>(Z14*Assumptions!$C$10)+Z14</f>
        <v>63928.007733167236</v>
      </c>
      <c r="AB14" s="20">
        <f>(AA14*Assumptions!$C$10)+AA14</f>
        <v>65507.029524176469</v>
      </c>
      <c r="AC14" s="20">
        <f>(AB14*Assumptions!$C$10)+AB14</f>
        <v>67125.053153423622</v>
      </c>
      <c r="AD14" s="20">
        <f>(AC14*Assumptions!$C$10)+AC14</f>
        <v>68783.041966313191</v>
      </c>
      <c r="AE14" s="20">
        <f>(AD14*Assumptions!$C$10)+AD14</f>
        <v>70481.983102881131</v>
      </c>
      <c r="AF14" s="20">
        <f>(AE14*Assumptions!$C$10)+AE14</f>
        <v>72222.888085522296</v>
      </c>
    </row>
    <row r="15" spans="1:33" s="33" customFormat="1">
      <c r="B15" s="33" t="s">
        <v>55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20">
        <v>80000</v>
      </c>
      <c r="I15" s="20">
        <f>H15</f>
        <v>80000</v>
      </c>
      <c r="J15" s="20">
        <f t="shared" ref="J15:AF15" si="0">I15</f>
        <v>80000</v>
      </c>
      <c r="K15" s="20">
        <f t="shared" si="0"/>
        <v>80000</v>
      </c>
      <c r="L15" s="20">
        <f t="shared" si="0"/>
        <v>80000</v>
      </c>
      <c r="M15" s="20">
        <f t="shared" si="0"/>
        <v>80000</v>
      </c>
      <c r="N15" s="20">
        <f t="shared" si="0"/>
        <v>80000</v>
      </c>
      <c r="O15" s="20">
        <f t="shared" si="0"/>
        <v>80000</v>
      </c>
      <c r="P15" s="20">
        <f t="shared" si="0"/>
        <v>80000</v>
      </c>
      <c r="Q15" s="20">
        <f t="shared" si="0"/>
        <v>80000</v>
      </c>
      <c r="R15" s="20">
        <f t="shared" si="0"/>
        <v>80000</v>
      </c>
      <c r="S15" s="20">
        <f t="shared" si="0"/>
        <v>80000</v>
      </c>
      <c r="T15" s="20">
        <f t="shared" si="0"/>
        <v>80000</v>
      </c>
      <c r="U15" s="20">
        <f t="shared" si="0"/>
        <v>80000</v>
      </c>
      <c r="V15" s="20">
        <f t="shared" si="0"/>
        <v>80000</v>
      </c>
      <c r="W15" s="20">
        <f t="shared" si="0"/>
        <v>80000</v>
      </c>
      <c r="X15" s="20">
        <f t="shared" si="0"/>
        <v>80000</v>
      </c>
      <c r="Y15" s="20">
        <f t="shared" si="0"/>
        <v>80000</v>
      </c>
      <c r="Z15" s="20">
        <f t="shared" si="0"/>
        <v>80000</v>
      </c>
      <c r="AA15" s="20">
        <f t="shared" si="0"/>
        <v>80000</v>
      </c>
      <c r="AB15" s="20">
        <f t="shared" si="0"/>
        <v>80000</v>
      </c>
      <c r="AC15" s="20">
        <f t="shared" si="0"/>
        <v>80000</v>
      </c>
      <c r="AD15" s="20">
        <f t="shared" si="0"/>
        <v>80000</v>
      </c>
      <c r="AE15" s="20">
        <f t="shared" si="0"/>
        <v>80000</v>
      </c>
      <c r="AF15" s="20">
        <f t="shared" si="0"/>
        <v>80000</v>
      </c>
    </row>
    <row r="16" spans="1:33">
      <c r="B16" s="5" t="s">
        <v>92</v>
      </c>
      <c r="C16" s="20">
        <v>100000</v>
      </c>
      <c r="D16" s="17">
        <f>(C16*Assumptions!$C$8)+C16</f>
        <v>103000</v>
      </c>
      <c r="E16" s="17">
        <f>(D16*Assumptions!$C$8)+D16</f>
        <v>106090</v>
      </c>
      <c r="F16" s="17">
        <f>(E16*Assumptions!$C$8)+E16</f>
        <v>109272.7</v>
      </c>
      <c r="G16" s="17">
        <f>(F16*Assumptions!$C$8)+F16</f>
        <v>112550.88099999999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</row>
    <row r="17" spans="1:32">
      <c r="B17" t="s">
        <v>22</v>
      </c>
      <c r="C17" s="27">
        <v>500000</v>
      </c>
      <c r="D17" s="27">
        <v>500000</v>
      </c>
      <c r="E17" s="27">
        <v>500000</v>
      </c>
      <c r="F17" s="27">
        <v>500000</v>
      </c>
      <c r="G17" s="27">
        <v>500000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</row>
    <row r="18" spans="1:3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32">
      <c r="B19" t="s">
        <v>3</v>
      </c>
      <c r="C19" s="6">
        <f t="shared" ref="C19:AF19" si="1">SUM(C11:C17)</f>
        <v>707500</v>
      </c>
      <c r="D19" s="6">
        <f t="shared" si="1"/>
        <v>714287.5</v>
      </c>
      <c r="E19" s="6">
        <f t="shared" si="1"/>
        <v>721319.6875</v>
      </c>
      <c r="F19" s="6">
        <f t="shared" si="1"/>
        <v>728605.9871875</v>
      </c>
      <c r="G19" s="6">
        <f t="shared" si="1"/>
        <v>736156.20381718746</v>
      </c>
      <c r="H19" s="6">
        <f t="shared" si="1"/>
        <v>343578.58079463686</v>
      </c>
      <c r="I19" s="6">
        <f t="shared" si="1"/>
        <v>380447.70208761847</v>
      </c>
      <c r="J19" s="6">
        <f t="shared" si="1"/>
        <v>393818.83529904665</v>
      </c>
      <c r="K19" s="6">
        <f t="shared" si="1"/>
        <v>407677.29547906353</v>
      </c>
      <c r="L19" s="6">
        <f t="shared" si="1"/>
        <v>422205.0697658991</v>
      </c>
      <c r="M19" s="6">
        <f t="shared" si="1"/>
        <v>437441.43532926909</v>
      </c>
      <c r="N19" s="6">
        <f t="shared" si="1"/>
        <v>453421.2444684428</v>
      </c>
      <c r="O19" s="6">
        <f t="shared" si="1"/>
        <v>469342.37511369243</v>
      </c>
      <c r="P19" s="6">
        <f t="shared" si="1"/>
        <v>486830.82788363175</v>
      </c>
      <c r="Q19" s="6">
        <f t="shared" si="1"/>
        <v>504195.40312379919</v>
      </c>
      <c r="R19" s="6">
        <f t="shared" si="1"/>
        <v>522246.74862993468</v>
      </c>
      <c r="S19" s="6">
        <f t="shared" si="1"/>
        <v>541045.77277609962</v>
      </c>
      <c r="T19" s="6">
        <f t="shared" si="1"/>
        <v>560613.24481200124</v>
      </c>
      <c r="U19" s="6">
        <f t="shared" si="1"/>
        <v>580965.49465272925</v>
      </c>
      <c r="V19" s="6">
        <f t="shared" si="1"/>
        <v>602115.51675115013</v>
      </c>
      <c r="W19" s="6">
        <f t="shared" si="1"/>
        <v>622287.54981623881</v>
      </c>
      <c r="X19" s="6">
        <f t="shared" si="1"/>
        <v>642910.90703490458</v>
      </c>
      <c r="Y19" s="6">
        <f t="shared" si="1"/>
        <v>664057.05843048904</v>
      </c>
      <c r="Z19" s="6">
        <f t="shared" si="1"/>
        <v>685695.18517942284</v>
      </c>
      <c r="AA19" s="6">
        <f t="shared" si="1"/>
        <v>707774.85929245234</v>
      </c>
      <c r="AB19" s="6">
        <f t="shared" si="1"/>
        <v>727456.52666363225</v>
      </c>
      <c r="AC19" s="6">
        <f t="shared" si="1"/>
        <v>746921.18683004926</v>
      </c>
      <c r="AD19" s="6">
        <f t="shared" si="1"/>
        <v>766263.54178741842</v>
      </c>
      <c r="AE19" s="6">
        <f t="shared" si="1"/>
        <v>785371.63897824148</v>
      </c>
      <c r="AF19" s="6">
        <f t="shared" si="1"/>
        <v>800373.4244284794</v>
      </c>
    </row>
    <row r="20" spans="1:3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32">
      <c r="A21" t="s">
        <v>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32" hidden="1">
      <c r="A22" s="33"/>
      <c r="B22" s="38" t="s">
        <v>25</v>
      </c>
      <c r="C22" s="3">
        <f>15000</f>
        <v>15000</v>
      </c>
      <c r="D22" s="3">
        <f>(C22*Assumptions!$C$8)+C22</f>
        <v>15450</v>
      </c>
      <c r="E22" s="3">
        <f>(D22*Assumptions!$C$8)+D22</f>
        <v>15913.5</v>
      </c>
      <c r="F22" s="3">
        <f>(E22*Assumptions!$C$8)+E22</f>
        <v>16390.904999999999</v>
      </c>
      <c r="G22" s="3">
        <f>(F22*Assumptions!$C$8)+F22</f>
        <v>16882.632149999998</v>
      </c>
      <c r="H22" s="3">
        <f>(G22*Assumptions!$C$8)+G22</f>
        <v>17389.111114499996</v>
      </c>
      <c r="I22" s="3">
        <f>(H22*Assumptions!$C$8)+H22</f>
        <v>17910.784447934995</v>
      </c>
      <c r="J22" s="3">
        <f>(I22*Assumptions!$C$8)+I22</f>
        <v>18448.107981373047</v>
      </c>
      <c r="K22" s="3">
        <f>(J22*Assumptions!$C$8)+J22</f>
        <v>19001.551220814239</v>
      </c>
      <c r="L22" s="3">
        <f>(K22*Assumptions!$C$8)+K22</f>
        <v>19571.597757438667</v>
      </c>
      <c r="M22" s="3">
        <f>(L22*Assumptions!$C$8)+L22</f>
        <v>20158.745690161828</v>
      </c>
      <c r="N22" s="3">
        <f>(M22*Assumptions!$C$8)+M22</f>
        <v>20763.508060866683</v>
      </c>
      <c r="O22" s="3">
        <f>(N22*Assumptions!$C$8)+N22</f>
        <v>21386.413302692683</v>
      </c>
      <c r="P22" s="3">
        <f>(O22*Assumptions!$C$8)+O22</f>
        <v>22028.005701773462</v>
      </c>
      <c r="Q22" s="3">
        <f>(P22*Assumptions!$C$8)+P22</f>
        <v>22688.845872826667</v>
      </c>
      <c r="R22" s="3">
        <f>(Q22*Assumptions!$C$8)+Q22</f>
        <v>23369.511249011466</v>
      </c>
      <c r="S22" s="3">
        <f>(R22*Assumptions!$C$8)+R22</f>
        <v>24070.59658648181</v>
      </c>
      <c r="T22" s="3">
        <f>(S22*Assumptions!$C$8)+S22</f>
        <v>24792.714484076263</v>
      </c>
      <c r="U22" s="3">
        <f>(T22*Assumptions!$C$8)+T22</f>
        <v>25536.49591859855</v>
      </c>
      <c r="V22" s="3">
        <f>(U22*Assumptions!$C$8)+U22</f>
        <v>26302.590796156506</v>
      </c>
      <c r="W22" s="3">
        <f>(V22*Assumptions!$C$8)+V22</f>
        <v>27091.668520041203</v>
      </c>
      <c r="X22" s="3">
        <f>(W22*Assumptions!$C$8)+W22</f>
        <v>27904.418575642438</v>
      </c>
      <c r="Y22" s="3">
        <f>(X22*Assumptions!$C$8)+X22</f>
        <v>28741.551132911711</v>
      </c>
      <c r="Z22" s="3">
        <f>(Y22*Assumptions!$C$8)+Y22</f>
        <v>29603.797666899063</v>
      </c>
      <c r="AA22" s="3">
        <f>(Z22*Assumptions!$C$8)+Z22</f>
        <v>30491.911596906037</v>
      </c>
      <c r="AB22" s="3">
        <f>(AA22*Assumptions!$C$8)+AA22</f>
        <v>31406.668944813217</v>
      </c>
      <c r="AC22" s="3">
        <f>(AB22*Assumptions!$C$8)+AB22</f>
        <v>32348.869013157611</v>
      </c>
      <c r="AD22" s="3">
        <f>(AC22*Assumptions!$C$8)+AC22</f>
        <v>33319.335083552338</v>
      </c>
      <c r="AE22" s="3">
        <f>(AD22*Assumptions!$C$8)+AD22</f>
        <v>34318.915136058909</v>
      </c>
      <c r="AF22" s="3">
        <f>(AE22*Assumptions!$C$8)+AE22</f>
        <v>35348.482590140673</v>
      </c>
    </row>
    <row r="23" spans="1:32" hidden="1">
      <c r="B23" s="38" t="s">
        <v>24</v>
      </c>
      <c r="C23" s="3">
        <f>10000</f>
        <v>10000</v>
      </c>
      <c r="D23" s="3">
        <f>(C23*Assumptions!$C$8)+C23</f>
        <v>10300</v>
      </c>
      <c r="E23" s="3">
        <f>(D23*Assumptions!$C$8)+D23</f>
        <v>10609</v>
      </c>
      <c r="F23" s="3">
        <f>(E23*Assumptions!$C$8)+E23</f>
        <v>10927.27</v>
      </c>
      <c r="G23" s="3">
        <f>(F23*Assumptions!$C$8)+F23</f>
        <v>11255.088100000001</v>
      </c>
      <c r="H23" s="3">
        <f>(G23*Assumptions!$C$8)+G23</f>
        <v>11592.740743</v>
      </c>
      <c r="I23" s="3">
        <f>(H23*Assumptions!$C$8)+H23</f>
        <v>11940.52296529</v>
      </c>
      <c r="J23" s="3">
        <f>(I23*Assumptions!$C$8)+I23</f>
        <v>12298.7386542487</v>
      </c>
      <c r="K23" s="3">
        <f>(J23*Assumptions!$C$8)+J23</f>
        <v>12667.700813876161</v>
      </c>
      <c r="L23" s="3">
        <f>(K23*Assumptions!$C$8)+K23</f>
        <v>13047.731838292446</v>
      </c>
      <c r="M23" s="3">
        <f>(L23*Assumptions!$C$8)+L23</f>
        <v>13439.163793441219</v>
      </c>
      <c r="N23" s="3">
        <f>(M23*Assumptions!$C$8)+M23</f>
        <v>13842.338707244457</v>
      </c>
      <c r="O23" s="3">
        <f>(N23*Assumptions!$C$8)+N23</f>
        <v>14257.60886846179</v>
      </c>
      <c r="P23" s="3">
        <f>(O23*Assumptions!$C$8)+O23</f>
        <v>14685.337134515643</v>
      </c>
      <c r="Q23" s="3">
        <f>(P23*Assumptions!$C$8)+P23</f>
        <v>15125.897248551111</v>
      </c>
      <c r="R23" s="3">
        <f>(Q23*Assumptions!$C$8)+Q23</f>
        <v>15579.674166007644</v>
      </c>
      <c r="S23" s="3">
        <f>(R23*Assumptions!$C$8)+R23</f>
        <v>16047.064390987873</v>
      </c>
      <c r="T23" s="3">
        <f>(S23*Assumptions!$C$8)+S23</f>
        <v>16528.47632271751</v>
      </c>
      <c r="U23" s="3">
        <f>(T23*Assumptions!$C$8)+T23</f>
        <v>17024.330612399037</v>
      </c>
      <c r="V23" s="3">
        <f>(U23*Assumptions!$C$8)+U23</f>
        <v>17535.060530771007</v>
      </c>
      <c r="W23" s="3">
        <f>(V23*Assumptions!$C$8)+V23</f>
        <v>18061.112346694135</v>
      </c>
      <c r="X23" s="3">
        <f>(W23*Assumptions!$C$8)+W23</f>
        <v>18602.945717094961</v>
      </c>
      <c r="Y23" s="3">
        <f>(X23*Assumptions!$C$8)+X23</f>
        <v>19161.034088607808</v>
      </c>
      <c r="Z23" s="3">
        <f>(Y23*Assumptions!$C$8)+Y23</f>
        <v>19735.865111266041</v>
      </c>
      <c r="AA23" s="3">
        <f>(Z23*Assumptions!$C$8)+Z23</f>
        <v>20327.941064604023</v>
      </c>
      <c r="AB23" s="3">
        <f>(AA23*Assumptions!$C$8)+AA23</f>
        <v>20937.779296542143</v>
      </c>
      <c r="AC23" s="3">
        <f>(AB23*Assumptions!$C$8)+AB23</f>
        <v>21565.912675438409</v>
      </c>
      <c r="AD23" s="3">
        <f>(AC23*Assumptions!$C$8)+AC23</f>
        <v>22212.890055701562</v>
      </c>
      <c r="AE23" s="3">
        <f>(AD23*Assumptions!$C$8)+AD23</f>
        <v>22879.276757372609</v>
      </c>
      <c r="AF23" s="3">
        <f>(AE23*Assumptions!$C$8)+AE23</f>
        <v>23565.655060093788</v>
      </c>
    </row>
    <row r="24" spans="1:32" hidden="1">
      <c r="B24" s="38" t="s">
        <v>41</v>
      </c>
      <c r="C24" s="3">
        <f>3500</f>
        <v>3500</v>
      </c>
      <c r="D24" s="3">
        <f>(C24*Assumptions!$C$8)+C24</f>
        <v>3605</v>
      </c>
      <c r="E24" s="3">
        <f>(D24*Assumptions!$C$8)+D24</f>
        <v>3713.15</v>
      </c>
      <c r="F24" s="3">
        <f>(E24*Assumptions!$C$8)+E24</f>
        <v>3824.5445</v>
      </c>
      <c r="G24" s="3">
        <f>(F24*Assumptions!$C$8)+F24</f>
        <v>3939.280835</v>
      </c>
      <c r="H24" s="3">
        <f>(G24*Assumptions!$C$8)+G24</f>
        <v>4057.45926005</v>
      </c>
      <c r="I24" s="3">
        <f>(H24*Assumptions!$C$8)+H24</f>
        <v>4179.1830378514996</v>
      </c>
      <c r="J24" s="3">
        <f>(I24*Assumptions!$C$8)+I24</f>
        <v>4304.5585289870451</v>
      </c>
      <c r="K24" s="3">
        <f>(J24*Assumptions!$C$8)+J24</f>
        <v>4433.6952848566561</v>
      </c>
      <c r="L24" s="3">
        <f>(K24*Assumptions!$C$8)+K24</f>
        <v>4566.7061434023562</v>
      </c>
      <c r="M24" s="3">
        <f>(L24*Assumptions!$C$8)+L24</f>
        <v>4703.7073277044274</v>
      </c>
      <c r="N24" s="3">
        <f>(M24*Assumptions!$C$8)+M24</f>
        <v>4844.8185475355604</v>
      </c>
      <c r="O24" s="3">
        <f>(N24*Assumptions!$C$8)+N24</f>
        <v>4990.1631039616268</v>
      </c>
      <c r="P24" s="3">
        <f>(O24*Assumptions!$C$8)+O24</f>
        <v>5139.867997080476</v>
      </c>
      <c r="Q24" s="3">
        <f>(P24*Assumptions!$C$8)+P24</f>
        <v>5294.0640369928906</v>
      </c>
      <c r="R24" s="3">
        <f>(Q24*Assumptions!$C$8)+Q24</f>
        <v>5452.8859581026773</v>
      </c>
      <c r="S24" s="3">
        <f>(R24*Assumptions!$C$8)+R24</f>
        <v>5616.4725368457575</v>
      </c>
      <c r="T24" s="3">
        <f>(S24*Assumptions!$C$8)+S24</f>
        <v>5784.9667129511299</v>
      </c>
      <c r="U24" s="3">
        <f>(T24*Assumptions!$C$8)+T24</f>
        <v>5958.5157143396636</v>
      </c>
      <c r="V24" s="3">
        <f>(U24*Assumptions!$C$8)+U24</f>
        <v>6137.2711857698532</v>
      </c>
      <c r="W24" s="3">
        <f>(V24*Assumptions!$C$8)+V24</f>
        <v>6321.3893213429492</v>
      </c>
      <c r="X24" s="3">
        <f>(W24*Assumptions!$C$8)+W24</f>
        <v>6511.0310009832374</v>
      </c>
      <c r="Y24" s="3">
        <f>(X24*Assumptions!$C$8)+X24</f>
        <v>6706.3619310127342</v>
      </c>
      <c r="Z24" s="3">
        <f>(Y24*Assumptions!$C$8)+Y24</f>
        <v>6907.552788943116</v>
      </c>
      <c r="AA24" s="3">
        <f>(Z24*Assumptions!$C$8)+Z24</f>
        <v>7114.7793726114096</v>
      </c>
      <c r="AB24" s="3">
        <f>(AA24*Assumptions!$C$8)+AA24</f>
        <v>7328.2227537897516</v>
      </c>
      <c r="AC24" s="3">
        <f>(AB24*Assumptions!$C$8)+AB24</f>
        <v>7548.0694364034443</v>
      </c>
      <c r="AD24" s="3">
        <f>(AC24*Assumptions!$C$8)+AC24</f>
        <v>7774.5115194955479</v>
      </c>
      <c r="AE24" s="3">
        <f>(AD24*Assumptions!$C$8)+AD24</f>
        <v>8007.746865080414</v>
      </c>
      <c r="AF24" s="3">
        <f>(AE24*Assumptions!$C$8)+AE24</f>
        <v>8247.9792710328256</v>
      </c>
    </row>
    <row r="25" spans="1:32" hidden="1">
      <c r="B25" s="38" t="s">
        <v>42</v>
      </c>
      <c r="C25" s="3">
        <f>1500</f>
        <v>1500</v>
      </c>
      <c r="D25" s="3">
        <f>(C25*Assumptions!$C$8)+C25</f>
        <v>1545</v>
      </c>
      <c r="E25" s="3">
        <f>(D25*Assumptions!$C$8)+D25</f>
        <v>1591.35</v>
      </c>
      <c r="F25" s="3">
        <f>(E25*Assumptions!$C$8)+E25</f>
        <v>1639.0904999999998</v>
      </c>
      <c r="G25" s="3">
        <f>(F25*Assumptions!$C$8)+F25</f>
        <v>1688.2632149999997</v>
      </c>
      <c r="H25" s="3">
        <f>(G25*Assumptions!$C$8)+G25</f>
        <v>1738.9111114499997</v>
      </c>
      <c r="I25" s="3">
        <f>(H25*Assumptions!$C$8)+H25</f>
        <v>1791.0784447934998</v>
      </c>
      <c r="J25" s="3">
        <f>(I25*Assumptions!$C$8)+I25</f>
        <v>1844.8107981373048</v>
      </c>
      <c r="K25" s="3">
        <f>(J25*Assumptions!$C$8)+J25</f>
        <v>1900.155122081424</v>
      </c>
      <c r="L25" s="3">
        <f>(K25*Assumptions!$C$8)+K25</f>
        <v>1957.1597757438667</v>
      </c>
      <c r="M25" s="3">
        <f>(L25*Assumptions!$C$8)+L25</f>
        <v>2015.8745690161827</v>
      </c>
      <c r="N25" s="3">
        <f>(M25*Assumptions!$C$8)+M25</f>
        <v>2076.3508060866684</v>
      </c>
      <c r="O25" s="3">
        <f>(N25*Assumptions!$C$8)+N25</f>
        <v>2138.6413302692686</v>
      </c>
      <c r="P25" s="3">
        <f>(O25*Assumptions!$C$8)+O25</f>
        <v>2202.8005701773468</v>
      </c>
      <c r="Q25" s="3">
        <f>(P25*Assumptions!$C$8)+P25</f>
        <v>2268.8845872826673</v>
      </c>
      <c r="R25" s="3">
        <f>(Q25*Assumptions!$C$8)+Q25</f>
        <v>2336.9511249011475</v>
      </c>
      <c r="S25" s="3">
        <f>(R25*Assumptions!$C$8)+R25</f>
        <v>2407.059658648182</v>
      </c>
      <c r="T25" s="3">
        <f>(S25*Assumptions!$C$8)+S25</f>
        <v>2479.2714484076273</v>
      </c>
      <c r="U25" s="3">
        <f>(T25*Assumptions!$C$8)+T25</f>
        <v>2553.6495918598562</v>
      </c>
      <c r="V25" s="3">
        <f>(U25*Assumptions!$C$8)+U25</f>
        <v>2630.2590796156519</v>
      </c>
      <c r="W25" s="3">
        <f>(V25*Assumptions!$C$8)+V25</f>
        <v>2709.1668520041217</v>
      </c>
      <c r="X25" s="3">
        <f>(W25*Assumptions!$C$8)+W25</f>
        <v>2790.4418575642453</v>
      </c>
      <c r="Y25" s="3">
        <f>(X25*Assumptions!$C$8)+X25</f>
        <v>2874.1551132911727</v>
      </c>
      <c r="Z25" s="3">
        <f>(Y25*Assumptions!$C$8)+Y25</f>
        <v>2960.3797666899077</v>
      </c>
      <c r="AA25" s="3">
        <f>(Z25*Assumptions!$C$8)+Z25</f>
        <v>3049.1911596906048</v>
      </c>
      <c r="AB25" s="3">
        <f>(AA25*Assumptions!$C$8)+AA25</f>
        <v>3140.6668944813227</v>
      </c>
      <c r="AC25" s="3">
        <f>(AB25*Assumptions!$C$8)+AB25</f>
        <v>3234.8869013157623</v>
      </c>
      <c r="AD25" s="3">
        <f>(AC25*Assumptions!$C$8)+AC25</f>
        <v>3331.9335083552351</v>
      </c>
      <c r="AE25" s="3">
        <f>(AD25*Assumptions!$C$8)+AD25</f>
        <v>3431.8915136058922</v>
      </c>
      <c r="AF25" s="3">
        <f>(AE25*Assumptions!$C$8)+AE25</f>
        <v>3534.8482590140688</v>
      </c>
    </row>
    <row r="26" spans="1:32" hidden="1">
      <c r="B26" s="38" t="s">
        <v>43</v>
      </c>
      <c r="C26" s="3">
        <f>600</f>
        <v>600</v>
      </c>
      <c r="D26" s="3">
        <f>(C26*Assumptions!$C$8)+C26</f>
        <v>618</v>
      </c>
      <c r="E26" s="3">
        <f>(D26*Assumptions!$C$8)+D26</f>
        <v>636.54</v>
      </c>
      <c r="F26" s="3">
        <f>(E26*Assumptions!$C$8)+E26</f>
        <v>655.63619999999992</v>
      </c>
      <c r="G26" s="3">
        <f>(F26*Assumptions!$C$8)+F26</f>
        <v>675.30528599999991</v>
      </c>
      <c r="H26" s="3">
        <f>(G26*Assumptions!$C$8)+G26</f>
        <v>695.56444457999987</v>
      </c>
      <c r="I26" s="3">
        <f>(H26*Assumptions!$C$8)+H26</f>
        <v>716.43137791739991</v>
      </c>
      <c r="J26" s="3">
        <f>(I26*Assumptions!$C$8)+I26</f>
        <v>737.9243192549219</v>
      </c>
      <c r="K26" s="3">
        <f>(J26*Assumptions!$C$8)+J26</f>
        <v>760.06204883256953</v>
      </c>
      <c r="L26" s="3">
        <f>(K26*Assumptions!$C$8)+K26</f>
        <v>782.86391029754657</v>
      </c>
      <c r="M26" s="3">
        <f>(L26*Assumptions!$C$8)+L26</f>
        <v>806.34982760647301</v>
      </c>
      <c r="N26" s="3">
        <f>(M26*Assumptions!$C$8)+M26</f>
        <v>830.54032243466725</v>
      </c>
      <c r="O26" s="3">
        <f>(N26*Assumptions!$C$8)+N26</f>
        <v>855.45653210770729</v>
      </c>
      <c r="P26" s="3">
        <f>(O26*Assumptions!$C$8)+O26</f>
        <v>881.12022807093854</v>
      </c>
      <c r="Q26" s="3">
        <f>(P26*Assumptions!$C$8)+P26</f>
        <v>907.55383491306668</v>
      </c>
      <c r="R26" s="3">
        <f>(Q26*Assumptions!$C$8)+Q26</f>
        <v>934.78044996045867</v>
      </c>
      <c r="S26" s="3">
        <f>(R26*Assumptions!$C$8)+R26</f>
        <v>962.82386345927239</v>
      </c>
      <c r="T26" s="3">
        <f>(S26*Assumptions!$C$8)+S26</f>
        <v>991.7085793630506</v>
      </c>
      <c r="U26" s="3">
        <f>(T26*Assumptions!$C$8)+T26</f>
        <v>1021.4598367439421</v>
      </c>
      <c r="V26" s="3">
        <f>(U26*Assumptions!$C$8)+U26</f>
        <v>1052.1036318462604</v>
      </c>
      <c r="W26" s="3">
        <f>(V26*Assumptions!$C$8)+V26</f>
        <v>1083.6667408016483</v>
      </c>
      <c r="X26" s="3">
        <f>(W26*Assumptions!$C$8)+W26</f>
        <v>1116.1767430256978</v>
      </c>
      <c r="Y26" s="3">
        <f>(X26*Assumptions!$C$8)+X26</f>
        <v>1149.6620453164687</v>
      </c>
      <c r="Z26" s="3">
        <f>(Y26*Assumptions!$C$8)+Y26</f>
        <v>1184.1519066759629</v>
      </c>
      <c r="AA26" s="3">
        <f>(Z26*Assumptions!$C$8)+Z26</f>
        <v>1219.6764638762418</v>
      </c>
      <c r="AB26" s="3">
        <f>(AA26*Assumptions!$C$8)+AA26</f>
        <v>1256.266757792529</v>
      </c>
      <c r="AC26" s="3">
        <f>(AB26*Assumptions!$C$8)+AB26</f>
        <v>1293.9547605263049</v>
      </c>
      <c r="AD26" s="3">
        <f>(AC26*Assumptions!$C$8)+AC26</f>
        <v>1332.7734033420941</v>
      </c>
      <c r="AE26" s="3">
        <f>(AD26*Assumptions!$C$8)+AD26</f>
        <v>1372.7566054423569</v>
      </c>
      <c r="AF26" s="3">
        <f>(AE26*Assumptions!$C$8)+AE26</f>
        <v>1413.9393036056276</v>
      </c>
    </row>
    <row r="27" spans="1:32" hidden="1">
      <c r="B27" s="38" t="s">
        <v>44</v>
      </c>
      <c r="C27" s="3">
        <f>5500</f>
        <v>5500</v>
      </c>
      <c r="D27" s="3">
        <f>(C27*Assumptions!$C$8)+C27</f>
        <v>5665</v>
      </c>
      <c r="E27" s="3">
        <f>(D27*Assumptions!$C$8)+D27</f>
        <v>5834.95</v>
      </c>
      <c r="F27" s="3">
        <f>(E27*Assumptions!$C$8)+E27</f>
        <v>6009.9984999999997</v>
      </c>
      <c r="G27" s="3">
        <f>(F27*Assumptions!$C$8)+F27</f>
        <v>6190.2984550000001</v>
      </c>
      <c r="H27" s="3">
        <f>(G27*Assumptions!$C$8)+G27</f>
        <v>6376.0074086499999</v>
      </c>
      <c r="I27" s="3">
        <f>(H27*Assumptions!$C$8)+H27</f>
        <v>6567.2876309095</v>
      </c>
      <c r="J27" s="3">
        <f>(I27*Assumptions!$C$8)+I27</f>
        <v>6764.3062598367851</v>
      </c>
      <c r="K27" s="3">
        <f>(J27*Assumptions!$C$8)+J27</f>
        <v>6967.2354476318887</v>
      </c>
      <c r="L27" s="3">
        <f>(K27*Assumptions!$C$8)+K27</f>
        <v>7176.2525110608458</v>
      </c>
      <c r="M27" s="3">
        <f>(L27*Assumptions!$C$8)+L27</f>
        <v>7391.5400863926716</v>
      </c>
      <c r="N27" s="3">
        <f>(M27*Assumptions!$C$8)+M27</f>
        <v>7613.2862889844519</v>
      </c>
      <c r="O27" s="3">
        <f>(N27*Assumptions!$C$8)+N27</f>
        <v>7841.6848776539855</v>
      </c>
      <c r="P27" s="3">
        <f>(O27*Assumptions!$C$8)+O27</f>
        <v>8076.9354239836048</v>
      </c>
      <c r="Q27" s="3">
        <f>(P27*Assumptions!$C$8)+P27</f>
        <v>8319.2434867031134</v>
      </c>
      <c r="R27" s="3">
        <f>(Q27*Assumptions!$C$8)+Q27</f>
        <v>8568.8207913042061</v>
      </c>
      <c r="S27" s="3">
        <f>(R27*Assumptions!$C$8)+R27</f>
        <v>8825.8854150433326</v>
      </c>
      <c r="T27" s="3">
        <f>(S27*Assumptions!$C$8)+S27</f>
        <v>9090.6619774946321</v>
      </c>
      <c r="U27" s="3">
        <f>(T27*Assumptions!$C$8)+T27</f>
        <v>9363.3818368194716</v>
      </c>
      <c r="V27" s="3">
        <f>(U27*Assumptions!$C$8)+U27</f>
        <v>9644.2832919240554</v>
      </c>
      <c r="W27" s="3">
        <f>(V27*Assumptions!$C$8)+V27</f>
        <v>9933.6117906817763</v>
      </c>
      <c r="X27" s="3">
        <f>(W27*Assumptions!$C$8)+W27</f>
        <v>10231.62014440223</v>
      </c>
      <c r="Y27" s="3">
        <f>(X27*Assumptions!$C$8)+X27</f>
        <v>10538.568748734297</v>
      </c>
      <c r="Z27" s="3">
        <f>(Y27*Assumptions!$C$8)+Y27</f>
        <v>10854.725811196326</v>
      </c>
      <c r="AA27" s="3">
        <f>(Z27*Assumptions!$C$8)+Z27</f>
        <v>11180.367585532214</v>
      </c>
      <c r="AB27" s="3">
        <f>(AA27*Assumptions!$C$8)+AA27</f>
        <v>11515.77861309818</v>
      </c>
      <c r="AC27" s="3">
        <f>(AB27*Assumptions!$C$8)+AB27</f>
        <v>11861.251971491125</v>
      </c>
      <c r="AD27" s="3">
        <f>(AC27*Assumptions!$C$8)+AC27</f>
        <v>12217.089530635858</v>
      </c>
      <c r="AE27" s="3">
        <f>(AD27*Assumptions!$C$8)+AD27</f>
        <v>12583.602216554933</v>
      </c>
      <c r="AF27" s="3">
        <f>(AE27*Assumptions!$C$8)+AE27</f>
        <v>12961.110283051581</v>
      </c>
    </row>
    <row r="28" spans="1:32" hidden="1">
      <c r="B28" s="38" t="s">
        <v>26</v>
      </c>
      <c r="C28" s="3">
        <f>4000</f>
        <v>4000</v>
      </c>
      <c r="D28" s="3">
        <f>(C28*Assumptions!$C$8)+C28</f>
        <v>4120</v>
      </c>
      <c r="E28" s="3">
        <f>(D28*Assumptions!$C$8)+D28</f>
        <v>4243.6000000000004</v>
      </c>
      <c r="F28" s="3">
        <f>(E28*Assumptions!$C$8)+E28</f>
        <v>4370.9080000000004</v>
      </c>
      <c r="G28" s="3">
        <f>(F28*Assumptions!$C$8)+F28</f>
        <v>4502.0352400000002</v>
      </c>
      <c r="H28" s="3">
        <f>(G28*Assumptions!$C$8)+G28</f>
        <v>4637.0962971999998</v>
      </c>
      <c r="I28" s="3">
        <f>(H28*Assumptions!$C$8)+H28</f>
        <v>4776.2091861159997</v>
      </c>
      <c r="J28" s="3">
        <f>(I28*Assumptions!$C$8)+I28</f>
        <v>4919.4954616994801</v>
      </c>
      <c r="K28" s="3">
        <f>(J28*Assumptions!$C$8)+J28</f>
        <v>5067.0803255504643</v>
      </c>
      <c r="L28" s="3">
        <f>(K28*Assumptions!$C$8)+K28</f>
        <v>5219.0927353169782</v>
      </c>
      <c r="M28" s="3">
        <f>(L28*Assumptions!$C$8)+L28</f>
        <v>5375.6655173764875</v>
      </c>
      <c r="N28" s="3">
        <f>(M28*Assumptions!$C$8)+M28</f>
        <v>5536.9354828977821</v>
      </c>
      <c r="O28" s="3">
        <f>(N28*Assumptions!$C$8)+N28</f>
        <v>5703.0435473847156</v>
      </c>
      <c r="P28" s="3">
        <f>(O28*Assumptions!$C$8)+O28</f>
        <v>5874.1348538062566</v>
      </c>
      <c r="Q28" s="3">
        <f>(P28*Assumptions!$C$8)+P28</f>
        <v>6050.3588994204447</v>
      </c>
      <c r="R28" s="3">
        <f>(Q28*Assumptions!$C$8)+Q28</f>
        <v>6231.8696664030576</v>
      </c>
      <c r="S28" s="3">
        <f>(R28*Assumptions!$C$8)+R28</f>
        <v>6418.8257563951493</v>
      </c>
      <c r="T28" s="3">
        <f>(S28*Assumptions!$C$8)+S28</f>
        <v>6611.3905290870034</v>
      </c>
      <c r="U28" s="3">
        <f>(T28*Assumptions!$C$8)+T28</f>
        <v>6809.7322449596131</v>
      </c>
      <c r="V28" s="3">
        <f>(U28*Assumptions!$C$8)+U28</f>
        <v>7014.0242123084017</v>
      </c>
      <c r="W28" s="3">
        <f>(V28*Assumptions!$C$8)+V28</f>
        <v>7224.4449386776541</v>
      </c>
      <c r="X28" s="3">
        <f>(W28*Assumptions!$C$8)+W28</f>
        <v>7441.1782868379842</v>
      </c>
      <c r="Y28" s="3">
        <f>(X28*Assumptions!$C$8)+X28</f>
        <v>7664.4136354431239</v>
      </c>
      <c r="Z28" s="3">
        <f>(Y28*Assumptions!$C$8)+Y28</f>
        <v>7894.3460445064175</v>
      </c>
      <c r="AA28" s="3">
        <f>(Z28*Assumptions!$C$8)+Z28</f>
        <v>8131.1764258416097</v>
      </c>
      <c r="AB28" s="3">
        <f>(AA28*Assumptions!$C$8)+AA28</f>
        <v>8375.1117186168576</v>
      </c>
      <c r="AC28" s="3">
        <f>(AB28*Assumptions!$C$8)+AB28</f>
        <v>8626.3650701753631</v>
      </c>
      <c r="AD28" s="3">
        <f>(AC28*Assumptions!$C$8)+AC28</f>
        <v>8885.1560222806238</v>
      </c>
      <c r="AE28" s="3">
        <f>(AD28*Assumptions!$C$8)+AD28</f>
        <v>9151.7107029490417</v>
      </c>
      <c r="AF28" s="3">
        <f>(AE28*Assumptions!$C$8)+AE28</f>
        <v>9426.2620240375127</v>
      </c>
    </row>
    <row r="29" spans="1:32" hidden="1">
      <c r="B29" s="38" t="s">
        <v>48</v>
      </c>
      <c r="C29" s="3">
        <f>350</f>
        <v>350</v>
      </c>
      <c r="D29" s="3">
        <f>(C29*Assumptions!$C$8)+C29</f>
        <v>360.5</v>
      </c>
      <c r="E29" s="3">
        <f>(D29*Assumptions!$C$8)+D29</f>
        <v>371.315</v>
      </c>
      <c r="F29" s="3">
        <f>(E29*Assumptions!$C$8)+E29</f>
        <v>382.45445000000001</v>
      </c>
      <c r="G29" s="3">
        <f>(F29*Assumptions!$C$8)+F29</f>
        <v>393.92808350000001</v>
      </c>
      <c r="H29" s="3">
        <f>(G29*Assumptions!$C$8)+G29</f>
        <v>405.745926005</v>
      </c>
      <c r="I29" s="3">
        <f>(H29*Assumptions!$C$8)+H29</f>
        <v>417.91830378514999</v>
      </c>
      <c r="J29" s="3">
        <f>(I29*Assumptions!$C$8)+I29</f>
        <v>430.45585289870451</v>
      </c>
      <c r="K29" s="3">
        <f>(J29*Assumptions!$C$8)+J29</f>
        <v>443.36952848566563</v>
      </c>
      <c r="L29" s="3">
        <f>(K29*Assumptions!$C$8)+K29</f>
        <v>456.6706143402356</v>
      </c>
      <c r="M29" s="3">
        <f>(L29*Assumptions!$C$8)+L29</f>
        <v>470.37073277044266</v>
      </c>
      <c r="N29" s="3">
        <f>(M29*Assumptions!$C$8)+M29</f>
        <v>484.48185475355592</v>
      </c>
      <c r="O29" s="3">
        <f>(N29*Assumptions!$C$8)+N29</f>
        <v>499.01631039616262</v>
      </c>
      <c r="P29" s="3">
        <f>(O29*Assumptions!$C$8)+O29</f>
        <v>513.98679970804756</v>
      </c>
      <c r="Q29" s="3">
        <f>(P29*Assumptions!$C$8)+P29</f>
        <v>529.40640369928894</v>
      </c>
      <c r="R29" s="3">
        <f>(Q29*Assumptions!$C$8)+Q29</f>
        <v>545.28859581026757</v>
      </c>
      <c r="S29" s="3">
        <f>(R29*Assumptions!$C$8)+R29</f>
        <v>561.64725368457562</v>
      </c>
      <c r="T29" s="3">
        <f>(S29*Assumptions!$C$8)+S29</f>
        <v>578.49667129511283</v>
      </c>
      <c r="U29" s="3">
        <f>(T29*Assumptions!$C$8)+T29</f>
        <v>595.85157143396623</v>
      </c>
      <c r="V29" s="3">
        <f>(U29*Assumptions!$C$8)+U29</f>
        <v>613.72711857698516</v>
      </c>
      <c r="W29" s="3">
        <f>(V29*Assumptions!$C$8)+V29</f>
        <v>632.13893213429469</v>
      </c>
      <c r="X29" s="3">
        <f>(W29*Assumptions!$C$8)+W29</f>
        <v>651.10310009832358</v>
      </c>
      <c r="Y29" s="3">
        <f>(X29*Assumptions!$C$8)+X29</f>
        <v>670.63619310127331</v>
      </c>
      <c r="Z29" s="3">
        <f>(Y29*Assumptions!$C$8)+Y29</f>
        <v>690.75527889431146</v>
      </c>
      <c r="AA29" s="3">
        <f>(Z29*Assumptions!$C$8)+Z29</f>
        <v>711.47793726114082</v>
      </c>
      <c r="AB29" s="3">
        <f>(AA29*Assumptions!$C$8)+AA29</f>
        <v>732.82227537897506</v>
      </c>
      <c r="AC29" s="3">
        <f>(AB29*Assumptions!$C$8)+AB29</f>
        <v>754.80694364034434</v>
      </c>
      <c r="AD29" s="3">
        <f>(AC29*Assumptions!$C$8)+AC29</f>
        <v>777.45115194955463</v>
      </c>
      <c r="AE29" s="3">
        <f>(AD29*Assumptions!$C$8)+AD29</f>
        <v>800.77468650804121</v>
      </c>
      <c r="AF29" s="3">
        <f>(AE29*Assumptions!$C$8)+AE29</f>
        <v>824.7979271032824</v>
      </c>
    </row>
    <row r="30" spans="1:32" hidden="1">
      <c r="B30" s="38" t="s">
        <v>47</v>
      </c>
      <c r="C30" s="3">
        <f>2000+1000</f>
        <v>3000</v>
      </c>
      <c r="D30" s="3">
        <f>(C30*Assumptions!$C$8)+C30</f>
        <v>3090</v>
      </c>
      <c r="E30" s="3">
        <f>(D30*Assumptions!$C$8)+D30</f>
        <v>3182.7</v>
      </c>
      <c r="F30" s="3">
        <f>(E30*Assumptions!$C$8)+E30</f>
        <v>3278.1809999999996</v>
      </c>
      <c r="G30" s="3">
        <f>(F30*Assumptions!$C$8)+F30</f>
        <v>3376.5264299999994</v>
      </c>
      <c r="H30" s="3">
        <f>(G30*Assumptions!$C$8)+G30</f>
        <v>3477.8222228999994</v>
      </c>
      <c r="I30" s="3">
        <f>(H30*Assumptions!$C$8)+H30</f>
        <v>3582.1568895869996</v>
      </c>
      <c r="J30" s="3">
        <f>(I30*Assumptions!$C$8)+I30</f>
        <v>3689.6215962746096</v>
      </c>
      <c r="K30" s="3">
        <f>(J30*Assumptions!$C$8)+J30</f>
        <v>3800.310244162848</v>
      </c>
      <c r="L30" s="3">
        <f>(K30*Assumptions!$C$8)+K30</f>
        <v>3914.3195514877334</v>
      </c>
      <c r="M30" s="3">
        <f>(L30*Assumptions!$C$8)+L30</f>
        <v>4031.7491380323654</v>
      </c>
      <c r="N30" s="3">
        <f>(M30*Assumptions!$C$8)+M30</f>
        <v>4152.7016121733368</v>
      </c>
      <c r="O30" s="3">
        <f>(N30*Assumptions!$C$8)+N30</f>
        <v>4277.2826605385371</v>
      </c>
      <c r="P30" s="3">
        <f>(O30*Assumptions!$C$8)+O30</f>
        <v>4405.6011403546936</v>
      </c>
      <c r="Q30" s="3">
        <f>(P30*Assumptions!$C$8)+P30</f>
        <v>4537.7691745653347</v>
      </c>
      <c r="R30" s="3">
        <f>(Q30*Assumptions!$C$8)+Q30</f>
        <v>4673.902249802295</v>
      </c>
      <c r="S30" s="3">
        <f>(R30*Assumptions!$C$8)+R30</f>
        <v>4814.119317296364</v>
      </c>
      <c r="T30" s="3">
        <f>(S30*Assumptions!$C$8)+S30</f>
        <v>4958.5428968152546</v>
      </c>
      <c r="U30" s="3">
        <f>(T30*Assumptions!$C$8)+T30</f>
        <v>5107.2991837197123</v>
      </c>
      <c r="V30" s="3">
        <f>(U30*Assumptions!$C$8)+U30</f>
        <v>5260.5181592313038</v>
      </c>
      <c r="W30" s="3">
        <f>(V30*Assumptions!$C$8)+V30</f>
        <v>5418.3337040082433</v>
      </c>
      <c r="X30" s="3">
        <f>(W30*Assumptions!$C$8)+W30</f>
        <v>5580.8837151284906</v>
      </c>
      <c r="Y30" s="3">
        <f>(X30*Assumptions!$C$8)+X30</f>
        <v>5748.3102265823454</v>
      </c>
      <c r="Z30" s="3">
        <f>(Y30*Assumptions!$C$8)+Y30</f>
        <v>5920.7595333798154</v>
      </c>
      <c r="AA30" s="3">
        <f>(Z30*Assumptions!$C$8)+Z30</f>
        <v>6098.3823193812095</v>
      </c>
      <c r="AB30" s="3">
        <f>(AA30*Assumptions!$C$8)+AA30</f>
        <v>6281.3337889626455</v>
      </c>
      <c r="AC30" s="3">
        <f>(AB30*Assumptions!$C$8)+AB30</f>
        <v>6469.7738026315246</v>
      </c>
      <c r="AD30" s="3">
        <f>(AC30*Assumptions!$C$8)+AC30</f>
        <v>6663.8670167104701</v>
      </c>
      <c r="AE30" s="3">
        <f>(AD30*Assumptions!$C$8)+AD30</f>
        <v>6863.7830272117844</v>
      </c>
      <c r="AF30" s="3">
        <f>(AE30*Assumptions!$C$8)+AE30</f>
        <v>7069.6965180281377</v>
      </c>
    </row>
    <row r="31" spans="1:32" hidden="1">
      <c r="B31" s="38" t="s">
        <v>45</v>
      </c>
      <c r="C31" s="3">
        <f>4200</f>
        <v>4200</v>
      </c>
      <c r="D31" s="3">
        <f>(C31*Assumptions!$C$8)+C31</f>
        <v>4326</v>
      </c>
      <c r="E31" s="3">
        <f>(D31*Assumptions!$C$8)+D31</f>
        <v>4455.78</v>
      </c>
      <c r="F31" s="3">
        <f>(E31*Assumptions!$C$8)+E31</f>
        <v>4589.4533999999994</v>
      </c>
      <c r="G31" s="3">
        <f>(F31*Assumptions!$C$8)+F31</f>
        <v>4727.1370019999995</v>
      </c>
      <c r="H31" s="3">
        <f>(G31*Assumptions!$C$8)+G31</f>
        <v>4868.9511120599991</v>
      </c>
      <c r="I31" s="3">
        <f>(H31*Assumptions!$C$8)+H31</f>
        <v>5015.0196454217994</v>
      </c>
      <c r="J31" s="3">
        <f>(I31*Assumptions!$C$8)+I31</f>
        <v>5165.4702347844532</v>
      </c>
      <c r="K31" s="3">
        <f>(J31*Assumptions!$C$8)+J31</f>
        <v>5320.4343418279868</v>
      </c>
      <c r="L31" s="3">
        <f>(K31*Assumptions!$C$8)+K31</f>
        <v>5480.0473720828268</v>
      </c>
      <c r="M31" s="3">
        <f>(L31*Assumptions!$C$8)+L31</f>
        <v>5644.4487932453112</v>
      </c>
      <c r="N31" s="3">
        <f>(M31*Assumptions!$C$8)+M31</f>
        <v>5813.7822570426706</v>
      </c>
      <c r="O31" s="3">
        <f>(N31*Assumptions!$C$8)+N31</f>
        <v>5988.1957247539503</v>
      </c>
      <c r="P31" s="3">
        <f>(O31*Assumptions!$C$8)+O31</f>
        <v>6167.8415964965689</v>
      </c>
      <c r="Q31" s="3">
        <f>(P31*Assumptions!$C$8)+P31</f>
        <v>6352.876844391466</v>
      </c>
      <c r="R31" s="3">
        <f>(Q31*Assumptions!$C$8)+Q31</f>
        <v>6543.4631497232103</v>
      </c>
      <c r="S31" s="3">
        <f>(R31*Assumptions!$C$8)+R31</f>
        <v>6739.7670442149065</v>
      </c>
      <c r="T31" s="3">
        <f>(S31*Assumptions!$C$8)+S31</f>
        <v>6941.9600555413535</v>
      </c>
      <c r="U31" s="3">
        <f>(T31*Assumptions!$C$8)+T31</f>
        <v>7150.2188572075938</v>
      </c>
      <c r="V31" s="3">
        <f>(U31*Assumptions!$C$8)+U31</f>
        <v>7364.7254229238215</v>
      </c>
      <c r="W31" s="3">
        <f>(V31*Assumptions!$C$8)+V31</f>
        <v>7585.6671856115363</v>
      </c>
      <c r="X31" s="3">
        <f>(W31*Assumptions!$C$8)+W31</f>
        <v>7813.2372011798825</v>
      </c>
      <c r="Y31" s="3">
        <f>(X31*Assumptions!$C$8)+X31</f>
        <v>8047.6343172152792</v>
      </c>
      <c r="Z31" s="3">
        <f>(Y31*Assumptions!$C$8)+Y31</f>
        <v>8289.0633467317384</v>
      </c>
      <c r="AA31" s="3">
        <f>(Z31*Assumptions!$C$8)+Z31</f>
        <v>8537.7352471336908</v>
      </c>
      <c r="AB31" s="3">
        <f>(AA31*Assumptions!$C$8)+AA31</f>
        <v>8793.8673045477008</v>
      </c>
      <c r="AC31" s="3">
        <f>(AB31*Assumptions!$C$8)+AB31</f>
        <v>9057.6833236841321</v>
      </c>
      <c r="AD31" s="3">
        <f>(AC31*Assumptions!$C$8)+AC31</f>
        <v>9329.413823394656</v>
      </c>
      <c r="AE31" s="3">
        <f>(AD31*Assumptions!$C$8)+AD31</f>
        <v>9609.2962380964964</v>
      </c>
      <c r="AF31" s="3">
        <f>(AE31*Assumptions!$C$8)+AE31</f>
        <v>9897.5751252393911</v>
      </c>
    </row>
    <row r="32" spans="1:32" hidden="1">
      <c r="B32" s="38" t="s">
        <v>46</v>
      </c>
      <c r="C32" s="3">
        <f>600+400</f>
        <v>1000</v>
      </c>
      <c r="D32" s="3">
        <f>(C32*Assumptions!$C$8)+C32</f>
        <v>1030</v>
      </c>
      <c r="E32" s="3">
        <f>(D32*Assumptions!$C$8)+D32</f>
        <v>1060.9000000000001</v>
      </c>
      <c r="F32" s="3">
        <f>(E32*Assumptions!$C$8)+E32</f>
        <v>1092.7270000000001</v>
      </c>
      <c r="G32" s="3">
        <f>(F32*Assumptions!$C$8)+F32</f>
        <v>1125.50881</v>
      </c>
      <c r="H32" s="3">
        <f>(G32*Assumptions!$C$8)+G32</f>
        <v>1159.2740742999999</v>
      </c>
      <c r="I32" s="3">
        <f>(H32*Assumptions!$C$8)+H32</f>
        <v>1194.0522965289999</v>
      </c>
      <c r="J32" s="3">
        <f>(I32*Assumptions!$C$8)+I32</f>
        <v>1229.87386542487</v>
      </c>
      <c r="K32" s="3">
        <f>(J32*Assumptions!$C$8)+J32</f>
        <v>1266.7700813876161</v>
      </c>
      <c r="L32" s="3">
        <f>(K32*Assumptions!$C$8)+K32</f>
        <v>1304.7731838292445</v>
      </c>
      <c r="M32" s="3">
        <f>(L32*Assumptions!$C$8)+L32</f>
        <v>1343.9163793441219</v>
      </c>
      <c r="N32" s="3">
        <f>(M32*Assumptions!$C$8)+M32</f>
        <v>1384.2338707244455</v>
      </c>
      <c r="O32" s="3">
        <f>(N32*Assumptions!$C$8)+N32</f>
        <v>1425.7608868461789</v>
      </c>
      <c r="P32" s="3">
        <f>(O32*Assumptions!$C$8)+O32</f>
        <v>1468.5337134515642</v>
      </c>
      <c r="Q32" s="3">
        <f>(P32*Assumptions!$C$8)+P32</f>
        <v>1512.5897248551112</v>
      </c>
      <c r="R32" s="3">
        <f>(Q32*Assumptions!$C$8)+Q32</f>
        <v>1557.9674166007644</v>
      </c>
      <c r="S32" s="3">
        <f>(R32*Assumptions!$C$8)+R32</f>
        <v>1604.7064390987873</v>
      </c>
      <c r="T32" s="3">
        <f>(S32*Assumptions!$C$8)+S32</f>
        <v>1652.8476322717509</v>
      </c>
      <c r="U32" s="3">
        <f>(T32*Assumptions!$C$8)+T32</f>
        <v>1702.4330612399033</v>
      </c>
      <c r="V32" s="3">
        <f>(U32*Assumptions!$C$8)+U32</f>
        <v>1753.5060530771004</v>
      </c>
      <c r="W32" s="3">
        <f>(V32*Assumptions!$C$8)+V32</f>
        <v>1806.1112346694135</v>
      </c>
      <c r="X32" s="3">
        <f>(W32*Assumptions!$C$8)+W32</f>
        <v>1860.294571709496</v>
      </c>
      <c r="Y32" s="3">
        <f>(X32*Assumptions!$C$8)+X32</f>
        <v>1916.103408860781</v>
      </c>
      <c r="Z32" s="3">
        <f>(Y32*Assumptions!$C$8)+Y32</f>
        <v>1973.5865111266044</v>
      </c>
      <c r="AA32" s="3">
        <f>(Z32*Assumptions!$C$8)+Z32</f>
        <v>2032.7941064604024</v>
      </c>
      <c r="AB32" s="3">
        <f>(AA32*Assumptions!$C$8)+AA32</f>
        <v>2093.7779296542144</v>
      </c>
      <c r="AC32" s="3">
        <f>(AB32*Assumptions!$C$8)+AB32</f>
        <v>2156.5912675438408</v>
      </c>
      <c r="AD32" s="3">
        <f>(AC32*Assumptions!$C$8)+AC32</f>
        <v>2221.289005570156</v>
      </c>
      <c r="AE32" s="3">
        <f>(AD32*Assumptions!$C$8)+AD32</f>
        <v>2287.9276757372604</v>
      </c>
      <c r="AF32" s="3">
        <f>(AE32*Assumptions!$C$8)+AE32</f>
        <v>2356.5655060093782</v>
      </c>
    </row>
    <row r="33" spans="1:32" hidden="1">
      <c r="B33" s="38" t="s">
        <v>23</v>
      </c>
      <c r="C33" s="3">
        <f>5000</f>
        <v>5000</v>
      </c>
      <c r="D33" s="3">
        <f>(C33*Assumptions!$C$8)+C33</f>
        <v>5150</v>
      </c>
      <c r="E33" s="3">
        <f>(D33*Assumptions!$C$8)+D33</f>
        <v>5304.5</v>
      </c>
      <c r="F33" s="3">
        <f>(E33*Assumptions!$C$8)+E33</f>
        <v>5463.6350000000002</v>
      </c>
      <c r="G33" s="3">
        <f>(F33*Assumptions!$C$8)+F33</f>
        <v>5627.5440500000004</v>
      </c>
      <c r="H33" s="3">
        <f>(G33*Assumptions!$C$8)+G33</f>
        <v>5796.3703715000001</v>
      </c>
      <c r="I33" s="3">
        <f>(H33*Assumptions!$C$8)+H33</f>
        <v>5970.2614826449999</v>
      </c>
      <c r="J33" s="3">
        <f>(I33*Assumptions!$C$8)+I33</f>
        <v>6149.3693271243501</v>
      </c>
      <c r="K33" s="3">
        <f>(J33*Assumptions!$C$8)+J33</f>
        <v>6333.8504069380806</v>
      </c>
      <c r="L33" s="3">
        <f>(K33*Assumptions!$C$8)+K33</f>
        <v>6523.865919146223</v>
      </c>
      <c r="M33" s="3">
        <f>(L33*Assumptions!$C$8)+L33</f>
        <v>6719.5818967206096</v>
      </c>
      <c r="N33" s="3">
        <f>(M33*Assumptions!$C$8)+M33</f>
        <v>6921.1693536222283</v>
      </c>
      <c r="O33" s="3">
        <f>(N33*Assumptions!$C$8)+N33</f>
        <v>7128.8044342308949</v>
      </c>
      <c r="P33" s="3">
        <f>(O33*Assumptions!$C$8)+O33</f>
        <v>7342.6685672578215</v>
      </c>
      <c r="Q33" s="3">
        <f>(P33*Assumptions!$C$8)+P33</f>
        <v>7562.9486242755556</v>
      </c>
      <c r="R33" s="3">
        <f>(Q33*Assumptions!$C$8)+Q33</f>
        <v>7789.837083003822</v>
      </c>
      <c r="S33" s="3">
        <f>(R33*Assumptions!$C$8)+R33</f>
        <v>8023.5321954939363</v>
      </c>
      <c r="T33" s="3">
        <f>(S33*Assumptions!$C$8)+S33</f>
        <v>8264.238161358755</v>
      </c>
      <c r="U33" s="3">
        <f>(T33*Assumptions!$C$8)+T33</f>
        <v>8512.1653061995185</v>
      </c>
      <c r="V33" s="3">
        <f>(U33*Assumptions!$C$8)+U33</f>
        <v>8767.5302653855033</v>
      </c>
      <c r="W33" s="3">
        <f>(V33*Assumptions!$C$8)+V33</f>
        <v>9030.5561733470677</v>
      </c>
      <c r="X33" s="3">
        <f>(W33*Assumptions!$C$8)+W33</f>
        <v>9301.4728585474804</v>
      </c>
      <c r="Y33" s="3">
        <f>(X33*Assumptions!$C$8)+X33</f>
        <v>9580.5170443039042</v>
      </c>
      <c r="Z33" s="3">
        <f>(Y33*Assumptions!$C$8)+Y33</f>
        <v>9867.9325556330205</v>
      </c>
      <c r="AA33" s="3">
        <f>(Z33*Assumptions!$C$8)+Z33</f>
        <v>10163.970532302012</v>
      </c>
      <c r="AB33" s="3">
        <f>(AA33*Assumptions!$C$8)+AA33</f>
        <v>10468.889648271072</v>
      </c>
      <c r="AC33" s="3">
        <f>(AB33*Assumptions!$C$8)+AB33</f>
        <v>10782.956337719204</v>
      </c>
      <c r="AD33" s="3">
        <f>(AC33*Assumptions!$C$8)+AC33</f>
        <v>11106.445027850781</v>
      </c>
      <c r="AE33" s="3">
        <f>(AD33*Assumptions!$C$8)+AD33</f>
        <v>11439.638378686304</v>
      </c>
      <c r="AF33" s="3">
        <f>(AE33*Assumptions!$C$8)+AE33</f>
        <v>11782.827530046894</v>
      </c>
    </row>
    <row r="34" spans="1:32" s="33" customFormat="1">
      <c r="B34" s="45" t="s">
        <v>100</v>
      </c>
      <c r="C34" s="34">
        <f>SUM(C22:C33)</f>
        <v>53650</v>
      </c>
      <c r="D34" s="34">
        <f t="shared" ref="D34:AF34" si="2">SUM(D22:D33)</f>
        <v>55259.5</v>
      </c>
      <c r="E34" s="34">
        <f t="shared" si="2"/>
        <v>56917.284999999996</v>
      </c>
      <c r="F34" s="34">
        <f t="shared" si="2"/>
        <v>58624.803549999997</v>
      </c>
      <c r="G34" s="34">
        <f t="shared" si="2"/>
        <v>60383.547656499999</v>
      </c>
      <c r="H34" s="34">
        <f t="shared" si="2"/>
        <v>62195.054086194999</v>
      </c>
      <c r="I34" s="34">
        <f t="shared" si="2"/>
        <v>64060.905708780847</v>
      </c>
      <c r="J34" s="34">
        <f t="shared" si="2"/>
        <v>65982.732880044263</v>
      </c>
      <c r="K34" s="34">
        <f t="shared" si="2"/>
        <v>67962.214866445604</v>
      </c>
      <c r="L34" s="34">
        <f t="shared" si="2"/>
        <v>70001.081312438968</v>
      </c>
      <c r="M34" s="34">
        <f t="shared" si="2"/>
        <v>72101.113751812125</v>
      </c>
      <c r="N34" s="34">
        <f t="shared" si="2"/>
        <v>74264.147164366499</v>
      </c>
      <c r="O34" s="34">
        <f t="shared" si="2"/>
        <v>76492.07157929751</v>
      </c>
      <c r="P34" s="34">
        <f t="shared" si="2"/>
        <v>78786.833726676414</v>
      </c>
      <c r="Q34" s="34">
        <f t="shared" si="2"/>
        <v>81150.438738476689</v>
      </c>
      <c r="R34" s="34">
        <f t="shared" si="2"/>
        <v>83584.951900631</v>
      </c>
      <c r="S34" s="34">
        <f t="shared" si="2"/>
        <v>86092.500457649963</v>
      </c>
      <c r="T34" s="34">
        <f t="shared" si="2"/>
        <v>88675.275471379442</v>
      </c>
      <c r="U34" s="34">
        <f t="shared" si="2"/>
        <v>91335.533735520832</v>
      </c>
      <c r="V34" s="34">
        <f t="shared" si="2"/>
        <v>94075.599747586428</v>
      </c>
      <c r="W34" s="34">
        <f t="shared" si="2"/>
        <v>96897.867740014059</v>
      </c>
      <c r="X34" s="34">
        <f t="shared" si="2"/>
        <v>99804.80377221448</v>
      </c>
      <c r="Y34" s="34">
        <f t="shared" si="2"/>
        <v>102798.94788538091</v>
      </c>
      <c r="Z34" s="34">
        <f t="shared" si="2"/>
        <v>105882.91632194231</v>
      </c>
      <c r="AA34" s="34">
        <f t="shared" si="2"/>
        <v>109059.40381160061</v>
      </c>
      <c r="AB34" s="34">
        <f t="shared" si="2"/>
        <v>112331.18592594861</v>
      </c>
      <c r="AC34" s="34">
        <f t="shared" si="2"/>
        <v>115701.12150372707</v>
      </c>
      <c r="AD34" s="34">
        <f t="shared" si="2"/>
        <v>119172.15514883891</v>
      </c>
      <c r="AE34" s="34">
        <f t="shared" si="2"/>
        <v>122747.31980330402</v>
      </c>
      <c r="AF34" s="34">
        <f t="shared" si="2"/>
        <v>126429.73939740319</v>
      </c>
    </row>
    <row r="35" spans="1:32" hidden="1">
      <c r="A35" s="33"/>
      <c r="B35" s="42" t="s">
        <v>37</v>
      </c>
      <c r="C35" s="3">
        <f>12000</f>
        <v>12000</v>
      </c>
      <c r="D35" s="3">
        <f>(C35*Assumptions!$C$8)+C35</f>
        <v>12360</v>
      </c>
      <c r="E35" s="3">
        <f>(D35*Assumptions!$C$8)+D35</f>
        <v>12730.8</v>
      </c>
      <c r="F35" s="3">
        <f>(E35*Assumptions!$C$8)+E35</f>
        <v>13112.723999999998</v>
      </c>
      <c r="G35" s="3">
        <f>(F35*Assumptions!$C$8)+F35</f>
        <v>13506.105719999998</v>
      </c>
      <c r="H35" s="3">
        <f>(G35*Assumptions!$C$8)+G35</f>
        <v>13911.288891599997</v>
      </c>
      <c r="I35" s="3">
        <f>(H35*Assumptions!$C$8)+H35</f>
        <v>14328.627558347998</v>
      </c>
      <c r="J35" s="3">
        <f>(I35*Assumptions!$C$8)+I35</f>
        <v>14758.486385098438</v>
      </c>
      <c r="K35" s="3">
        <f>(J35*Assumptions!$C$8)+J35</f>
        <v>15201.240976651392</v>
      </c>
      <c r="L35" s="3">
        <f>(K35*Assumptions!$C$8)+K35</f>
        <v>15657.278205950934</v>
      </c>
      <c r="M35" s="3">
        <f>(L35*Assumptions!$C$8)+L35</f>
        <v>16126.996552129462</v>
      </c>
      <c r="N35" s="3">
        <f>(M35*Assumptions!$C$8)+M35</f>
        <v>16610.806448693347</v>
      </c>
      <c r="O35" s="3">
        <f>(N35*Assumptions!$C$8)+N35</f>
        <v>17109.130642154149</v>
      </c>
      <c r="P35" s="3">
        <f>(O35*Assumptions!$C$8)+O35</f>
        <v>17622.404561418774</v>
      </c>
      <c r="Q35" s="3">
        <f>(P35*Assumptions!$C$8)+P35</f>
        <v>18151.076698261339</v>
      </c>
      <c r="R35" s="3">
        <f>(Q35*Assumptions!$C$8)+Q35</f>
        <v>18695.60899920918</v>
      </c>
      <c r="S35" s="3">
        <f>(R35*Assumptions!$C$8)+R35</f>
        <v>19256.477269185456</v>
      </c>
      <c r="T35" s="3">
        <f>(S35*Assumptions!$C$8)+S35</f>
        <v>19834.171587261018</v>
      </c>
      <c r="U35" s="3">
        <f>(T35*Assumptions!$C$8)+T35</f>
        <v>20429.196734878849</v>
      </c>
      <c r="V35" s="3">
        <f>(U35*Assumptions!$C$8)+U35</f>
        <v>21042.072636925215</v>
      </c>
      <c r="W35" s="3">
        <f>(V35*Assumptions!$C$8)+V35</f>
        <v>21673.334816032973</v>
      </c>
      <c r="X35" s="3">
        <f>(W35*Assumptions!$C$8)+W35</f>
        <v>22323.534860513962</v>
      </c>
      <c r="Y35" s="3">
        <f>(X35*Assumptions!$C$8)+X35</f>
        <v>22993.240906329382</v>
      </c>
      <c r="Z35" s="3">
        <f>(Y35*Assumptions!$C$8)+Y35</f>
        <v>23683.038133519261</v>
      </c>
      <c r="AA35" s="3">
        <f>(Z35*Assumptions!$C$8)+Z35</f>
        <v>24393.529277524838</v>
      </c>
      <c r="AB35" s="3">
        <f>(AA35*Assumptions!$C$8)+AA35</f>
        <v>25125.335155850582</v>
      </c>
      <c r="AC35" s="3">
        <f>(AB35*Assumptions!$C$8)+AB35</f>
        <v>25879.095210526099</v>
      </c>
      <c r="AD35" s="3">
        <f>(AC35*Assumptions!$C$8)+AC35</f>
        <v>26655.46806684188</v>
      </c>
      <c r="AE35" s="3">
        <f>(AD35*Assumptions!$C$8)+AD35</f>
        <v>27455.132108847138</v>
      </c>
      <c r="AF35" s="3">
        <f>(AE35*Assumptions!$C$8)+AE35</f>
        <v>28278.786072112551</v>
      </c>
    </row>
    <row r="36" spans="1:32" hidden="1">
      <c r="B36" s="42" t="s">
        <v>6</v>
      </c>
      <c r="C36" s="3">
        <f>190000+45000</f>
        <v>235000</v>
      </c>
      <c r="D36" s="3">
        <f>(C36*Assumptions!$C$8)+C36</f>
        <v>242050</v>
      </c>
      <c r="E36" s="3">
        <f>(D36*Assumptions!$C$8)+D36</f>
        <v>249311.5</v>
      </c>
      <c r="F36" s="3">
        <f>(E36*Assumptions!$C$8)+E36</f>
        <v>256790.845</v>
      </c>
      <c r="G36" s="3">
        <f>(F36*Assumptions!$C$8)+F36</f>
        <v>264494.57034999999</v>
      </c>
      <c r="H36" s="34">
        <f>85000+22000</f>
        <v>107000</v>
      </c>
      <c r="I36" s="34">
        <f>(H36*Assumptions!$C$8)+H36</f>
        <v>110210</v>
      </c>
      <c r="J36" s="34">
        <f>(I36*Assumptions!$C$8)+I36</f>
        <v>113516.3</v>
      </c>
      <c r="K36" s="34">
        <f>(J36*Assumptions!$C$8)+J36</f>
        <v>116921.789</v>
      </c>
      <c r="L36" s="34">
        <f>(K36*Assumptions!$C$8)+K36</f>
        <v>120429.44267</v>
      </c>
      <c r="M36" s="34">
        <f>(L36*Assumptions!$C$8)+L36</f>
        <v>124042.3259501</v>
      </c>
      <c r="N36" s="34">
        <f>(M36*Assumptions!$C$8)+M36</f>
        <v>127763.595728603</v>
      </c>
      <c r="O36" s="34">
        <f>(N36*Assumptions!$C$8)+N36</f>
        <v>131596.50360046109</v>
      </c>
      <c r="P36" s="34">
        <f>(O36*Assumptions!$C$8)+O36</f>
        <v>135544.39870847491</v>
      </c>
      <c r="Q36" s="34">
        <f>(P36*Assumptions!$C$8)+P36</f>
        <v>139610.73066972915</v>
      </c>
      <c r="R36" s="3">
        <f>(Q36*Assumptions!$C$8)+Q36</f>
        <v>143799.05258982102</v>
      </c>
      <c r="S36" s="3">
        <f>(R36*Assumptions!$C$8)+R36</f>
        <v>148113.02416751566</v>
      </c>
      <c r="T36" s="3">
        <f>(S36*Assumptions!$C$8)+S36</f>
        <v>152556.41489254113</v>
      </c>
      <c r="U36" s="3">
        <f>(T36*Assumptions!$C$8)+T36</f>
        <v>157133.10733931736</v>
      </c>
      <c r="V36" s="3">
        <f>(U36*Assumptions!$C$8)+U36</f>
        <v>161847.10055949687</v>
      </c>
      <c r="W36" s="3">
        <f>(V36*Assumptions!$C$8)+V36</f>
        <v>166702.51357628178</v>
      </c>
      <c r="X36" s="3">
        <f>(W36*Assumptions!$C$8)+W36</f>
        <v>171703.58898357023</v>
      </c>
      <c r="Y36" s="3">
        <f>(X36*Assumptions!$C$8)+X36</f>
        <v>176854.69665307732</v>
      </c>
      <c r="Z36" s="3">
        <f>(Y36*Assumptions!$C$8)+Y36</f>
        <v>182160.33755266963</v>
      </c>
      <c r="AA36" s="3">
        <f>(Z36*Assumptions!$C$8)+Z36</f>
        <v>187625.14767924973</v>
      </c>
      <c r="AB36" s="3">
        <f>(AA36*Assumptions!$C$8)+AA36</f>
        <v>193253.9021096272</v>
      </c>
      <c r="AC36" s="3">
        <f>(AB36*Assumptions!$C$8)+AB36</f>
        <v>199051.51917291601</v>
      </c>
      <c r="AD36" s="3">
        <f>(AC36*Assumptions!$C$8)+AC36</f>
        <v>205023.0647481035</v>
      </c>
      <c r="AE36" s="3">
        <f>(AD36*Assumptions!$C$8)+AD36</f>
        <v>211173.75669054661</v>
      </c>
      <c r="AF36" s="3">
        <f>(AE36*Assumptions!$C$8)+AE36</f>
        <v>217508.969391263</v>
      </c>
    </row>
    <row r="37" spans="1:32" s="33" customFormat="1">
      <c r="B37" s="45" t="s">
        <v>94</v>
      </c>
      <c r="C37" s="34">
        <f>SUM(C35:C36)</f>
        <v>247000</v>
      </c>
      <c r="D37" s="34">
        <f t="shared" ref="D37:AF37" si="3">SUM(D35:D36)</f>
        <v>254410</v>
      </c>
      <c r="E37" s="34">
        <f t="shared" si="3"/>
        <v>262042.3</v>
      </c>
      <c r="F37" s="34">
        <f t="shared" si="3"/>
        <v>269903.56900000002</v>
      </c>
      <c r="G37" s="34">
        <f t="shared" si="3"/>
        <v>278000.67606999999</v>
      </c>
      <c r="H37" s="34">
        <f t="shared" si="3"/>
        <v>120911.28889159999</v>
      </c>
      <c r="I37" s="34">
        <f t="shared" si="3"/>
        <v>124538.627558348</v>
      </c>
      <c r="J37" s="34">
        <f t="shared" si="3"/>
        <v>128274.78638509844</v>
      </c>
      <c r="K37" s="34">
        <f t="shared" si="3"/>
        <v>132123.02997665139</v>
      </c>
      <c r="L37" s="34">
        <f t="shared" si="3"/>
        <v>136086.72087595094</v>
      </c>
      <c r="M37" s="34">
        <f t="shared" si="3"/>
        <v>140169.32250222945</v>
      </c>
      <c r="N37" s="34">
        <f t="shared" si="3"/>
        <v>144374.40217729635</v>
      </c>
      <c r="O37" s="34">
        <f t="shared" si="3"/>
        <v>148705.63424261523</v>
      </c>
      <c r="P37" s="34">
        <f t="shared" si="3"/>
        <v>153166.80326989369</v>
      </c>
      <c r="Q37" s="34">
        <f t="shared" si="3"/>
        <v>157761.80736799049</v>
      </c>
      <c r="R37" s="34">
        <f t="shared" si="3"/>
        <v>162494.66158903021</v>
      </c>
      <c r="S37" s="34">
        <f t="shared" si="3"/>
        <v>167369.5014367011</v>
      </c>
      <c r="T37" s="34">
        <f t="shared" si="3"/>
        <v>172390.58647980215</v>
      </c>
      <c r="U37" s="34">
        <f t="shared" si="3"/>
        <v>177562.3040741962</v>
      </c>
      <c r="V37" s="34">
        <f t="shared" si="3"/>
        <v>182889.17319642208</v>
      </c>
      <c r="W37" s="34">
        <f t="shared" si="3"/>
        <v>188375.84839231474</v>
      </c>
      <c r="X37" s="34">
        <f t="shared" si="3"/>
        <v>194027.12384408418</v>
      </c>
      <c r="Y37" s="34">
        <f t="shared" si="3"/>
        <v>199847.93755940671</v>
      </c>
      <c r="Z37" s="34">
        <f t="shared" si="3"/>
        <v>205843.3756861889</v>
      </c>
      <c r="AA37" s="34">
        <f t="shared" si="3"/>
        <v>212018.67695677455</v>
      </c>
      <c r="AB37" s="34">
        <f t="shared" si="3"/>
        <v>218379.23726547777</v>
      </c>
      <c r="AC37" s="34">
        <f t="shared" si="3"/>
        <v>224930.61438344212</v>
      </c>
      <c r="AD37" s="34">
        <f t="shared" si="3"/>
        <v>231678.53281494539</v>
      </c>
      <c r="AE37" s="34">
        <f t="shared" si="3"/>
        <v>238628.88879939375</v>
      </c>
      <c r="AF37" s="34">
        <f t="shared" si="3"/>
        <v>245787.75546337556</v>
      </c>
    </row>
    <row r="38" spans="1:32" hidden="1">
      <c r="A38" s="33"/>
      <c r="B38" s="41" t="s">
        <v>34</v>
      </c>
      <c r="C38" s="3">
        <f>5000+500</f>
        <v>5500</v>
      </c>
      <c r="D38" s="3">
        <f>(C38*Assumptions!$C$8)+C38</f>
        <v>5665</v>
      </c>
      <c r="E38" s="3">
        <f>(D38*Assumptions!$C$8)+D38</f>
        <v>5834.95</v>
      </c>
      <c r="F38" s="3">
        <f>(E38*Assumptions!$C$8)+E38</f>
        <v>6009.9984999999997</v>
      </c>
      <c r="G38" s="3">
        <f>(F38*Assumptions!$C$8)+F38</f>
        <v>6190.2984550000001</v>
      </c>
      <c r="H38" s="3">
        <f>(G38*Assumptions!$C$8)+G38</f>
        <v>6376.0074086499999</v>
      </c>
      <c r="I38" s="3">
        <f>(H38*Assumptions!$C$8)+H38</f>
        <v>6567.2876309095</v>
      </c>
      <c r="J38" s="3">
        <f>(I38*Assumptions!$C$8)+I38</f>
        <v>6764.3062598367851</v>
      </c>
      <c r="K38" s="3">
        <f>(J38*Assumptions!$C$8)+J38</f>
        <v>6967.2354476318887</v>
      </c>
      <c r="L38" s="3">
        <f>(K38*Assumptions!$C$8)+K38</f>
        <v>7176.2525110608458</v>
      </c>
      <c r="M38" s="3">
        <f>(L38*Assumptions!$C$8)+L38</f>
        <v>7391.5400863926716</v>
      </c>
      <c r="N38" s="3">
        <f>(M38*Assumptions!$C$8)+M38</f>
        <v>7613.2862889844519</v>
      </c>
      <c r="O38" s="3">
        <f>(N38*Assumptions!$C$8)+N38</f>
        <v>7841.6848776539855</v>
      </c>
      <c r="P38" s="3">
        <f>(O38*Assumptions!$C$8)+O38</f>
        <v>8076.9354239836048</v>
      </c>
      <c r="Q38" s="3">
        <f>(P38*Assumptions!$C$8)+P38</f>
        <v>8319.2434867031134</v>
      </c>
      <c r="R38" s="3">
        <f>(Q38*Assumptions!$C$8)+Q38</f>
        <v>8568.8207913042061</v>
      </c>
      <c r="S38" s="3">
        <f>(R38*Assumptions!$C$8)+R38</f>
        <v>8825.8854150433326</v>
      </c>
      <c r="T38" s="3">
        <f>(S38*Assumptions!$C$8)+S38</f>
        <v>9090.6619774946321</v>
      </c>
      <c r="U38" s="3">
        <f>(T38*Assumptions!$C$8)+T38</f>
        <v>9363.3818368194716</v>
      </c>
      <c r="V38" s="3">
        <f>(U38*Assumptions!$C$8)+U38</f>
        <v>9644.2832919240554</v>
      </c>
      <c r="W38" s="3">
        <f>(V38*Assumptions!$C$8)+V38</f>
        <v>9933.6117906817763</v>
      </c>
      <c r="X38" s="3">
        <f>(W38*Assumptions!$C$8)+W38</f>
        <v>10231.62014440223</v>
      </c>
      <c r="Y38" s="3">
        <f>(X38*Assumptions!$C$8)+X38</f>
        <v>10538.568748734297</v>
      </c>
      <c r="Z38" s="3">
        <f>(Y38*Assumptions!$C$8)+Y38</f>
        <v>10854.725811196326</v>
      </c>
      <c r="AA38" s="3">
        <f>(Z38*Assumptions!$C$8)+Z38</f>
        <v>11180.367585532214</v>
      </c>
      <c r="AB38" s="3">
        <f>(AA38*Assumptions!$C$8)+AA38</f>
        <v>11515.77861309818</v>
      </c>
      <c r="AC38" s="3">
        <f>(AB38*Assumptions!$C$8)+AB38</f>
        <v>11861.251971491125</v>
      </c>
      <c r="AD38" s="3">
        <f>(AC38*Assumptions!$C$8)+AC38</f>
        <v>12217.089530635858</v>
      </c>
      <c r="AE38" s="3">
        <f>(AD38*Assumptions!$C$8)+AD38</f>
        <v>12583.602216554933</v>
      </c>
      <c r="AF38" s="3">
        <f>(AE38*Assumptions!$C$8)+AE38</f>
        <v>12961.110283051581</v>
      </c>
    </row>
    <row r="39" spans="1:32" hidden="1">
      <c r="B39" s="41" t="s">
        <v>33</v>
      </c>
      <c r="C39" s="3">
        <f>30000</f>
        <v>30000</v>
      </c>
      <c r="D39" s="3">
        <f>C39</f>
        <v>30000</v>
      </c>
      <c r="E39" s="3">
        <f>12000+12000+1610+2905+695+1386</f>
        <v>30596</v>
      </c>
      <c r="F39" s="3">
        <f t="shared" ref="F39:G39" si="4">12000+12000+1610+2905+695+1386</f>
        <v>30596</v>
      </c>
      <c r="G39" s="3">
        <f t="shared" si="4"/>
        <v>30596</v>
      </c>
      <c r="H39" s="34">
        <v>0</v>
      </c>
      <c r="I39" s="44">
        <v>0</v>
      </c>
      <c r="J39" s="44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</row>
    <row r="40" spans="1:32" hidden="1">
      <c r="B40" s="41" t="s">
        <v>32</v>
      </c>
      <c r="C40" s="3">
        <f>2600</f>
        <v>2600</v>
      </c>
      <c r="D40" s="18">
        <f>(C40*Assumptions!$C$8)+C40</f>
        <v>2678</v>
      </c>
      <c r="E40" s="3">
        <f>(D40*Assumptions!$C$8)+D40</f>
        <v>2758.34</v>
      </c>
      <c r="F40" s="3">
        <f>(E40*Assumptions!$C$8)+E40</f>
        <v>2841.0902000000001</v>
      </c>
      <c r="G40" s="3">
        <f>(F40*Assumptions!$C$8)+F40</f>
        <v>2926.3229059999999</v>
      </c>
      <c r="H40" s="34">
        <v>0</v>
      </c>
      <c r="I40" s="44">
        <v>0</v>
      </c>
      <c r="J40" s="44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</row>
    <row r="41" spans="1:32" hidden="1">
      <c r="B41" s="41" t="s">
        <v>31</v>
      </c>
      <c r="C41" s="3">
        <f>12000+7500+5000</f>
        <v>24500</v>
      </c>
      <c r="D41" s="3">
        <f>(C41*Assumptions!$C$8)+C41</f>
        <v>25235</v>
      </c>
      <c r="E41" s="3">
        <f>(D41*Assumptions!$C$8)+D41</f>
        <v>25992.05</v>
      </c>
      <c r="F41" s="3">
        <f>(E41*Assumptions!$C$8)+E41</f>
        <v>26771.8115</v>
      </c>
      <c r="G41" s="3">
        <f>(F41*Assumptions!$C$8)+F41</f>
        <v>27574.965844999999</v>
      </c>
      <c r="H41" s="3">
        <v>10000</v>
      </c>
      <c r="I41" s="3">
        <f>(H41*Assumptions!$C$8)+H41</f>
        <v>10300</v>
      </c>
      <c r="J41" s="3">
        <f>(I41*Assumptions!$C$8)+I41</f>
        <v>10609</v>
      </c>
      <c r="K41" s="34">
        <f>(J41*Assumptions!$C$8)+J41</f>
        <v>10927.27</v>
      </c>
      <c r="L41" s="3">
        <f>(K41*Assumptions!$C$8)+K41</f>
        <v>11255.088100000001</v>
      </c>
      <c r="M41" s="3">
        <f>(L41*Assumptions!$C$8)+L41</f>
        <v>11592.740743</v>
      </c>
      <c r="N41" s="3">
        <f>(M41*Assumptions!$C$8)+M41</f>
        <v>11940.52296529</v>
      </c>
      <c r="O41" s="3">
        <f>(N41*Assumptions!$C$8)+N41</f>
        <v>12298.7386542487</v>
      </c>
      <c r="P41" s="3">
        <f>(O41*Assumptions!$C$8)+O41</f>
        <v>12667.700813876161</v>
      </c>
      <c r="Q41" s="3">
        <f>(P41*Assumptions!$C$8)+P41</f>
        <v>13047.731838292446</v>
      </c>
      <c r="R41" s="3">
        <f>(Q41*Assumptions!$C$8)+Q41</f>
        <v>13439.163793441219</v>
      </c>
      <c r="S41" s="3">
        <f>(R41*Assumptions!$C$8)+R41</f>
        <v>13842.338707244457</v>
      </c>
      <c r="T41" s="3">
        <f>(S41*Assumptions!$C$8)+S41</f>
        <v>14257.60886846179</v>
      </c>
      <c r="U41" s="3">
        <f>(T41*Assumptions!$C$8)+T41</f>
        <v>14685.337134515643</v>
      </c>
      <c r="V41" s="3">
        <f>(U41*Assumptions!$C$8)+U41</f>
        <v>15125.897248551111</v>
      </c>
      <c r="W41" s="3">
        <f>(V41*Assumptions!$C$8)+V41</f>
        <v>15579.674166007644</v>
      </c>
      <c r="X41" s="3">
        <f>(W41*Assumptions!$C$8)+W41</f>
        <v>16047.064390987873</v>
      </c>
      <c r="Y41" s="3">
        <f>(X41*Assumptions!$C$8)+X41</f>
        <v>16528.47632271751</v>
      </c>
      <c r="Z41" s="3">
        <f>(Y41*Assumptions!$C$8)+Y41</f>
        <v>17024.330612399037</v>
      </c>
      <c r="AA41" s="3">
        <f>(Z41*Assumptions!$C$8)+Z41</f>
        <v>17535.060530771007</v>
      </c>
      <c r="AB41" s="3">
        <f>(AA41*Assumptions!$C$8)+AA41</f>
        <v>18061.112346694135</v>
      </c>
      <c r="AC41" s="3">
        <f>(AB41*Assumptions!$C$8)+AB41</f>
        <v>18602.945717094961</v>
      </c>
      <c r="AD41" s="3">
        <f>(AC41*Assumptions!$C$8)+AC41</f>
        <v>19161.034088607808</v>
      </c>
      <c r="AE41" s="3">
        <f>(AD41*Assumptions!$C$8)+AD41</f>
        <v>19735.865111266041</v>
      </c>
      <c r="AF41" s="3">
        <f>(AE41*Assumptions!$C$8)+AE41</f>
        <v>20327.941064604023</v>
      </c>
    </row>
    <row r="42" spans="1:32" s="33" customFormat="1">
      <c r="B42" s="45" t="s">
        <v>95</v>
      </c>
      <c r="C42" s="34">
        <f>SUM(C38:C41)</f>
        <v>62600</v>
      </c>
      <c r="D42" s="34">
        <f t="shared" ref="D42:AF42" si="5">SUM(D38:D41)</f>
        <v>63578</v>
      </c>
      <c r="E42" s="34">
        <f t="shared" si="5"/>
        <v>65181.34</v>
      </c>
      <c r="F42" s="34">
        <f t="shared" si="5"/>
        <v>66218.900200000004</v>
      </c>
      <c r="G42" s="34">
        <f t="shared" si="5"/>
        <v>67287.587205999997</v>
      </c>
      <c r="H42" s="34">
        <f t="shared" si="5"/>
        <v>16376.007408649999</v>
      </c>
      <c r="I42" s="34">
        <f t="shared" si="5"/>
        <v>16867.287630909501</v>
      </c>
      <c r="J42" s="34">
        <f t="shared" si="5"/>
        <v>17373.306259836783</v>
      </c>
      <c r="K42" s="34">
        <f t="shared" si="5"/>
        <v>17894.505447631891</v>
      </c>
      <c r="L42" s="34">
        <f t="shared" si="5"/>
        <v>18431.340611060848</v>
      </c>
      <c r="M42" s="34">
        <f t="shared" si="5"/>
        <v>18984.280829392672</v>
      </c>
      <c r="N42" s="34">
        <f t="shared" si="5"/>
        <v>19553.809254274453</v>
      </c>
      <c r="O42" s="34">
        <f t="shared" si="5"/>
        <v>20140.423531902685</v>
      </c>
      <c r="P42" s="34">
        <f t="shared" si="5"/>
        <v>20744.636237859766</v>
      </c>
      <c r="Q42" s="34">
        <f t="shared" si="5"/>
        <v>21366.975324995561</v>
      </c>
      <c r="R42" s="34">
        <f t="shared" si="5"/>
        <v>22007.984584745427</v>
      </c>
      <c r="S42" s="34">
        <f t="shared" si="5"/>
        <v>22668.224122287789</v>
      </c>
      <c r="T42" s="34">
        <f t="shared" si="5"/>
        <v>23348.270845956424</v>
      </c>
      <c r="U42" s="34">
        <f t="shared" si="5"/>
        <v>24048.718971335114</v>
      </c>
      <c r="V42" s="34">
        <f t="shared" si="5"/>
        <v>24770.180540475165</v>
      </c>
      <c r="W42" s="34">
        <f t="shared" si="5"/>
        <v>25513.285956689419</v>
      </c>
      <c r="X42" s="34">
        <f t="shared" si="5"/>
        <v>26278.684535390101</v>
      </c>
      <c r="Y42" s="34">
        <f t="shared" si="5"/>
        <v>27067.045071451808</v>
      </c>
      <c r="Z42" s="34">
        <f t="shared" si="5"/>
        <v>27879.056423595364</v>
      </c>
      <c r="AA42" s="34">
        <f t="shared" si="5"/>
        <v>28715.428116303221</v>
      </c>
      <c r="AB42" s="34">
        <f t="shared" si="5"/>
        <v>29576.890959792316</v>
      </c>
      <c r="AC42" s="34">
        <f t="shared" si="5"/>
        <v>30464.197688586086</v>
      </c>
      <c r="AD42" s="34">
        <f t="shared" si="5"/>
        <v>31378.123619243666</v>
      </c>
      <c r="AE42" s="34">
        <f t="shared" si="5"/>
        <v>32319.467327820974</v>
      </c>
      <c r="AF42" s="34">
        <f t="shared" si="5"/>
        <v>33289.051347655608</v>
      </c>
    </row>
    <row r="43" spans="1:32" hidden="1">
      <c r="A43" s="33"/>
      <c r="B43" s="40" t="s">
        <v>39</v>
      </c>
      <c r="C43" s="18">
        <f>2500+3500</f>
        <v>6000</v>
      </c>
      <c r="D43" s="3">
        <f>(C43*Assumptions!$C$8)+C43</f>
        <v>6180</v>
      </c>
      <c r="E43" s="3">
        <f>(D43*Assumptions!$C$8)+D43</f>
        <v>6365.4</v>
      </c>
      <c r="F43" s="3">
        <f>(E43*Assumptions!$C$8)+E43</f>
        <v>6556.3619999999992</v>
      </c>
      <c r="G43" s="3">
        <f>(F43*Assumptions!$C$8)+F43</f>
        <v>6753.0528599999989</v>
      </c>
      <c r="H43" s="3">
        <f>(G43*Assumptions!$C$8)+G43</f>
        <v>6955.6444457999987</v>
      </c>
      <c r="I43" s="3">
        <f>(H43*Assumptions!$C$8)+H43</f>
        <v>7164.3137791739991</v>
      </c>
      <c r="J43" s="3">
        <f>(I43*Assumptions!$C$8)+I43</f>
        <v>7379.2431925492192</v>
      </c>
      <c r="K43" s="3">
        <f>(J43*Assumptions!$C$8)+J43</f>
        <v>7600.620488325696</v>
      </c>
      <c r="L43" s="3">
        <f>(K43*Assumptions!$C$8)+K43</f>
        <v>7828.6391029754668</v>
      </c>
      <c r="M43" s="3">
        <f>(L43*Assumptions!$C$8)+L43</f>
        <v>8063.4982760647308</v>
      </c>
      <c r="N43" s="3">
        <f>(M43*Assumptions!$C$8)+M43</f>
        <v>8305.4032243466736</v>
      </c>
      <c r="O43" s="3">
        <f>(N43*Assumptions!$C$8)+N43</f>
        <v>8554.5653210770743</v>
      </c>
      <c r="P43" s="3">
        <f>(O43*Assumptions!$C$8)+O43</f>
        <v>8811.2022807093872</v>
      </c>
      <c r="Q43" s="3">
        <f>(P43*Assumptions!$C$8)+P43</f>
        <v>9075.5383491306693</v>
      </c>
      <c r="R43" s="3">
        <f>(Q43*Assumptions!$C$8)+Q43</f>
        <v>9347.8044996045901</v>
      </c>
      <c r="S43" s="3">
        <f>(R43*Assumptions!$C$8)+R43</f>
        <v>9628.238634592728</v>
      </c>
      <c r="T43" s="3">
        <f>(S43*Assumptions!$C$8)+S43</f>
        <v>9917.0857936305092</v>
      </c>
      <c r="U43" s="3">
        <f>(T43*Assumptions!$C$8)+T43</f>
        <v>10214.598367439425</v>
      </c>
      <c r="V43" s="3">
        <f>(U43*Assumptions!$C$8)+U43</f>
        <v>10521.036318462608</v>
      </c>
      <c r="W43" s="3">
        <f>(V43*Assumptions!$C$8)+V43</f>
        <v>10836.667408016487</v>
      </c>
      <c r="X43" s="3">
        <f>(W43*Assumptions!$C$8)+W43</f>
        <v>11161.767430256981</v>
      </c>
      <c r="Y43" s="3">
        <f>(X43*Assumptions!$C$8)+X43</f>
        <v>11496.620453164691</v>
      </c>
      <c r="Z43" s="3">
        <f>(Y43*Assumptions!$C$8)+Y43</f>
        <v>11841.519066759631</v>
      </c>
      <c r="AA43" s="3">
        <f>(Z43*Assumptions!$C$8)+Z43</f>
        <v>12196.764638762419</v>
      </c>
      <c r="AB43" s="3">
        <f>(AA43*Assumptions!$C$8)+AA43</f>
        <v>12562.667577925291</v>
      </c>
      <c r="AC43" s="3">
        <f>(AB43*Assumptions!$C$8)+AB43</f>
        <v>12939.547605263049</v>
      </c>
      <c r="AD43" s="3">
        <f>(AC43*Assumptions!$C$8)+AC43</f>
        <v>13327.73403342094</v>
      </c>
      <c r="AE43" s="3">
        <f>(AD43*Assumptions!$C$8)+AD43</f>
        <v>13727.566054423569</v>
      </c>
      <c r="AF43" s="3">
        <f>(AE43*Assumptions!$C$8)+AE43</f>
        <v>14139.393036056275</v>
      </c>
    </row>
    <row r="44" spans="1:32" hidden="1">
      <c r="B44" s="40" t="s">
        <v>38</v>
      </c>
      <c r="C44" s="18">
        <f>700+3500</f>
        <v>4200</v>
      </c>
      <c r="D44" s="3">
        <f>(C44*Assumptions!$C$8)+C44</f>
        <v>4326</v>
      </c>
      <c r="E44" s="3">
        <f>(D44*Assumptions!$C$8)+D44</f>
        <v>4455.78</v>
      </c>
      <c r="F44" s="3">
        <f>(E44*Assumptions!$C$8)+E44</f>
        <v>4589.4533999999994</v>
      </c>
      <c r="G44" s="3">
        <f>(F44*Assumptions!$C$8)+F44</f>
        <v>4727.1370019999995</v>
      </c>
      <c r="H44" s="3">
        <f>(G44*Assumptions!$C$8)+G44</f>
        <v>4868.9511120599991</v>
      </c>
      <c r="I44" s="3">
        <f>(H44*Assumptions!$C$8)+H44</f>
        <v>5015.0196454217994</v>
      </c>
      <c r="J44" s="3">
        <f>(I44*Assumptions!$C$8)+I44</f>
        <v>5165.4702347844532</v>
      </c>
      <c r="K44" s="3">
        <f>(J44*Assumptions!$C$8)+J44</f>
        <v>5320.4343418279868</v>
      </c>
      <c r="L44" s="3">
        <f>(K44*Assumptions!$C$8)+K44</f>
        <v>5480.0473720828268</v>
      </c>
      <c r="M44" s="3">
        <f>(L44*Assumptions!$C$8)+L44</f>
        <v>5644.4487932453112</v>
      </c>
      <c r="N44" s="3">
        <f>(M44*Assumptions!$C$8)+M44</f>
        <v>5813.7822570426706</v>
      </c>
      <c r="O44" s="3">
        <f>(N44*Assumptions!$C$8)+N44</f>
        <v>5988.1957247539503</v>
      </c>
      <c r="P44" s="3">
        <f>(O44*Assumptions!$C$8)+O44</f>
        <v>6167.8415964965689</v>
      </c>
      <c r="Q44" s="3">
        <f>(P44*Assumptions!$C$8)+P44</f>
        <v>6352.876844391466</v>
      </c>
      <c r="R44" s="3">
        <f>(Q44*Assumptions!$C$8)+Q44</f>
        <v>6543.4631497232103</v>
      </c>
      <c r="S44" s="3">
        <f>(R44*Assumptions!$C$8)+R44</f>
        <v>6739.7670442149065</v>
      </c>
      <c r="T44" s="3">
        <f>(S44*Assumptions!$C$8)+S44</f>
        <v>6941.9600555413535</v>
      </c>
      <c r="U44" s="3">
        <f>(T44*Assumptions!$C$8)+T44</f>
        <v>7150.2188572075938</v>
      </c>
      <c r="V44" s="3">
        <f>(U44*Assumptions!$C$8)+U44</f>
        <v>7364.7254229238215</v>
      </c>
      <c r="W44" s="3">
        <f>(V44*Assumptions!$C$8)+V44</f>
        <v>7585.6671856115363</v>
      </c>
      <c r="X44" s="3">
        <f>(W44*Assumptions!$C$8)+W44</f>
        <v>7813.2372011798825</v>
      </c>
      <c r="Y44" s="3">
        <f>(X44*Assumptions!$C$8)+X44</f>
        <v>8047.6343172152792</v>
      </c>
      <c r="Z44" s="3">
        <f>(Y44*Assumptions!$C$8)+Y44</f>
        <v>8289.0633467317384</v>
      </c>
      <c r="AA44" s="3">
        <f>(Z44*Assumptions!$C$8)+Z44</f>
        <v>8537.7352471336908</v>
      </c>
      <c r="AB44" s="3">
        <f>(AA44*Assumptions!$C$8)+AA44</f>
        <v>8793.8673045477008</v>
      </c>
      <c r="AC44" s="3">
        <f>(AB44*Assumptions!$C$8)+AB44</f>
        <v>9057.6833236841321</v>
      </c>
      <c r="AD44" s="3">
        <f>(AC44*Assumptions!$C$8)+AC44</f>
        <v>9329.413823394656</v>
      </c>
      <c r="AE44" s="3">
        <f>(AD44*Assumptions!$C$8)+AD44</f>
        <v>9609.2962380964964</v>
      </c>
      <c r="AF44" s="3">
        <f>(AE44*Assumptions!$C$8)+AE44</f>
        <v>9897.5751252393911</v>
      </c>
    </row>
    <row r="45" spans="1:32" s="33" customFormat="1">
      <c r="B45" s="45" t="s">
        <v>93</v>
      </c>
      <c r="C45" s="18">
        <f>SUM(C43:C44)</f>
        <v>10200</v>
      </c>
      <c r="D45" s="18">
        <f t="shared" ref="D45:AF45" si="6">SUM(D43:D44)</f>
        <v>10506</v>
      </c>
      <c r="E45" s="18">
        <f t="shared" si="6"/>
        <v>10821.18</v>
      </c>
      <c r="F45" s="18">
        <f t="shared" si="6"/>
        <v>11145.815399999999</v>
      </c>
      <c r="G45" s="18">
        <f t="shared" si="6"/>
        <v>11480.189861999999</v>
      </c>
      <c r="H45" s="18">
        <f t="shared" si="6"/>
        <v>11824.595557859997</v>
      </c>
      <c r="I45" s="18">
        <f t="shared" si="6"/>
        <v>12179.333424595799</v>
      </c>
      <c r="J45" s="18">
        <f t="shared" si="6"/>
        <v>12544.713427333672</v>
      </c>
      <c r="K45" s="18">
        <f t="shared" si="6"/>
        <v>12921.054830153684</v>
      </c>
      <c r="L45" s="18">
        <f t="shared" si="6"/>
        <v>13308.686475058294</v>
      </c>
      <c r="M45" s="18">
        <f t="shared" si="6"/>
        <v>13707.947069310041</v>
      </c>
      <c r="N45" s="18">
        <f t="shared" si="6"/>
        <v>14119.185481389344</v>
      </c>
      <c r="O45" s="18">
        <f t="shared" si="6"/>
        <v>14542.761045831025</v>
      </c>
      <c r="P45" s="18">
        <f t="shared" si="6"/>
        <v>14979.043877205957</v>
      </c>
      <c r="Q45" s="18">
        <f t="shared" si="6"/>
        <v>15428.415193522134</v>
      </c>
      <c r="R45" s="18">
        <f t="shared" si="6"/>
        <v>15891.267649327801</v>
      </c>
      <c r="S45" s="18">
        <f t="shared" si="6"/>
        <v>16368.005678807634</v>
      </c>
      <c r="T45" s="18">
        <f t="shared" si="6"/>
        <v>16859.045849171864</v>
      </c>
      <c r="U45" s="18">
        <f t="shared" si="6"/>
        <v>17364.81722464702</v>
      </c>
      <c r="V45" s="18">
        <f t="shared" si="6"/>
        <v>17885.761741386428</v>
      </c>
      <c r="W45" s="18">
        <f t="shared" si="6"/>
        <v>18422.334593628024</v>
      </c>
      <c r="X45" s="18">
        <f t="shared" si="6"/>
        <v>18975.004631436863</v>
      </c>
      <c r="Y45" s="18">
        <f t="shared" si="6"/>
        <v>19544.254770379972</v>
      </c>
      <c r="Z45" s="18">
        <f t="shared" si="6"/>
        <v>20130.582413491371</v>
      </c>
      <c r="AA45" s="18">
        <f t="shared" si="6"/>
        <v>20734.499885896112</v>
      </c>
      <c r="AB45" s="18">
        <f t="shared" si="6"/>
        <v>21356.534882472992</v>
      </c>
      <c r="AC45" s="18">
        <f t="shared" si="6"/>
        <v>21997.230928947181</v>
      </c>
      <c r="AD45" s="18">
        <f t="shared" si="6"/>
        <v>22657.147856815594</v>
      </c>
      <c r="AE45" s="18">
        <f t="shared" si="6"/>
        <v>23336.862292520065</v>
      </c>
      <c r="AF45" s="18">
        <f t="shared" si="6"/>
        <v>24036.968161295667</v>
      </c>
    </row>
    <row r="46" spans="1:32" hidden="1">
      <c r="B46" s="39" t="s">
        <v>49</v>
      </c>
      <c r="C46" s="3">
        <f>7000</f>
        <v>7000</v>
      </c>
      <c r="D46" s="3">
        <f>(C46*Assumptions!$C$8)+C46</f>
        <v>7210</v>
      </c>
      <c r="E46" s="3">
        <f>(D46*Assumptions!$C$8)+D46</f>
        <v>7426.3</v>
      </c>
      <c r="F46" s="3">
        <f>(E46*Assumptions!$C$8)+E46</f>
        <v>7649.0889999999999</v>
      </c>
      <c r="G46" s="3">
        <f>(F46*Assumptions!$C$8)+F46</f>
        <v>7878.56167</v>
      </c>
      <c r="H46" s="3">
        <f>(G46*Assumptions!$C$8)+G46</f>
        <v>8114.9185201</v>
      </c>
      <c r="I46" s="3">
        <f>(H46*Assumptions!$C$8)+H46</f>
        <v>8358.3660757029993</v>
      </c>
      <c r="J46" s="3">
        <f>(I46*Assumptions!$C$8)+I46</f>
        <v>8609.1170579740901</v>
      </c>
      <c r="K46" s="3">
        <f>(J46*Assumptions!$C$8)+J46</f>
        <v>8867.3905697133123</v>
      </c>
      <c r="L46" s="3">
        <f>(K46*Assumptions!$C$8)+K46</f>
        <v>9133.4122868047125</v>
      </c>
      <c r="M46" s="3">
        <f>(L46*Assumptions!$C$8)+L46</f>
        <v>9407.4146554088547</v>
      </c>
      <c r="N46" s="3">
        <f>(M46*Assumptions!$C$8)+M46</f>
        <v>9689.6370950711207</v>
      </c>
      <c r="O46" s="3">
        <f>(N46*Assumptions!$C$8)+N46</f>
        <v>9980.3262079232536</v>
      </c>
      <c r="P46" s="3">
        <f>(O46*Assumptions!$C$8)+O46</f>
        <v>10279.735994160952</v>
      </c>
      <c r="Q46" s="3">
        <f>(P46*Assumptions!$C$8)+P46</f>
        <v>10588.128073985781</v>
      </c>
      <c r="R46" s="3">
        <f>(Q46*Assumptions!$C$8)+Q46</f>
        <v>10905.771916205355</v>
      </c>
      <c r="S46" s="3">
        <f>(R46*Assumptions!$C$8)+R46</f>
        <v>11232.945073691515</v>
      </c>
      <c r="T46" s="3">
        <f>(S46*Assumptions!$C$8)+S46</f>
        <v>11569.93342590226</v>
      </c>
      <c r="U46" s="3">
        <f>(T46*Assumptions!$C$8)+T46</f>
        <v>11917.031428679327</v>
      </c>
      <c r="V46" s="3">
        <f>(U46*Assumptions!$C$8)+U46</f>
        <v>12274.542371539706</v>
      </c>
      <c r="W46" s="3">
        <f>(V46*Assumptions!$C$8)+V46</f>
        <v>12642.778642685898</v>
      </c>
      <c r="X46" s="3">
        <v>0</v>
      </c>
      <c r="Y46" s="3">
        <f>(X46*Assumptions!$C$8)+X46</f>
        <v>0</v>
      </c>
      <c r="Z46" s="3">
        <f>(Y46*Assumptions!$C$8)+Y46</f>
        <v>0</v>
      </c>
      <c r="AA46" s="3">
        <v>0</v>
      </c>
      <c r="AB46" s="3">
        <f>(AA46*Assumptions!$C$8)+AA46</f>
        <v>0</v>
      </c>
      <c r="AC46" s="3">
        <f>(AB46*Assumptions!$C$8)+AB46</f>
        <v>0</v>
      </c>
      <c r="AD46" s="3">
        <f>(AC46*Assumptions!$C$8)+AC46</f>
        <v>0</v>
      </c>
      <c r="AE46" s="3">
        <f>(AD46*Assumptions!$C$8)+AD46</f>
        <v>0</v>
      </c>
      <c r="AF46" s="3">
        <f>(AE46*Assumptions!$C$8)+AE46</f>
        <v>0</v>
      </c>
    </row>
    <row r="47" spans="1:32" hidden="1">
      <c r="A47" s="33"/>
      <c r="B47" s="39" t="s">
        <v>50</v>
      </c>
      <c r="C47" s="3">
        <f>1200</f>
        <v>1200</v>
      </c>
      <c r="D47" s="3">
        <f>(C47*Assumptions!$C$8)+C47</f>
        <v>1236</v>
      </c>
      <c r="E47" s="3">
        <f>(D47*Assumptions!$C$8)+D47</f>
        <v>1273.08</v>
      </c>
      <c r="F47" s="3">
        <f>(E47*Assumptions!$C$8)+E47</f>
        <v>1311.2723999999998</v>
      </c>
      <c r="G47" s="3">
        <f>(F47*Assumptions!$C$8)+F47</f>
        <v>1350.6105719999998</v>
      </c>
      <c r="H47" s="3">
        <f>(G47*Assumptions!$C$8)+G47</f>
        <v>1391.1288891599997</v>
      </c>
      <c r="I47" s="3">
        <f>(H47*Assumptions!$C$8)+H47</f>
        <v>1432.8627558347998</v>
      </c>
      <c r="J47" s="3">
        <f>(I47*Assumptions!$C$8)+I47</f>
        <v>1475.8486385098438</v>
      </c>
      <c r="K47" s="3">
        <f>(J47*Assumptions!$C$8)+J47</f>
        <v>1520.1240976651391</v>
      </c>
      <c r="L47" s="3">
        <f>(K47*Assumptions!$C$8)+K47</f>
        <v>1565.7278205950931</v>
      </c>
      <c r="M47" s="3">
        <f>(L47*Assumptions!$C$8)+L47</f>
        <v>1612.699655212946</v>
      </c>
      <c r="N47" s="3">
        <f>(M47*Assumptions!$C$8)+M47</f>
        <v>1661.0806448693345</v>
      </c>
      <c r="O47" s="3">
        <f>(N47*Assumptions!$C$8)+N47</f>
        <v>1710.9130642154146</v>
      </c>
      <c r="P47" s="3">
        <f>(O47*Assumptions!$C$8)+O47</f>
        <v>1762.2404561418771</v>
      </c>
      <c r="Q47" s="3">
        <f>(P47*Assumptions!$C$8)+P47</f>
        <v>1815.1076698261334</v>
      </c>
      <c r="R47" s="3">
        <f>(Q47*Assumptions!$C$8)+Q47</f>
        <v>1869.5608999209173</v>
      </c>
      <c r="S47" s="3">
        <f>(R47*Assumptions!$C$8)+R47</f>
        <v>1925.6477269185448</v>
      </c>
      <c r="T47" s="3">
        <f>(S47*Assumptions!$C$8)+S47</f>
        <v>1983.4171587261012</v>
      </c>
      <c r="U47" s="3">
        <f>(T47*Assumptions!$C$8)+T47</f>
        <v>2042.9196734878842</v>
      </c>
      <c r="V47" s="3">
        <f>(U47*Assumptions!$C$8)+U47</f>
        <v>2104.2072636925209</v>
      </c>
      <c r="W47" s="3">
        <f>(V47*Assumptions!$C$8)+V47</f>
        <v>2167.3334816032966</v>
      </c>
      <c r="X47" s="3">
        <v>0</v>
      </c>
      <c r="Y47" s="3">
        <f>(X47*Assumptions!$C$8)+X47</f>
        <v>0</v>
      </c>
      <c r="Z47" s="3">
        <f>(Y47*Assumptions!$C$8)+Y47</f>
        <v>0</v>
      </c>
      <c r="AA47" s="3">
        <v>0</v>
      </c>
      <c r="AB47" s="3">
        <f>(AA47*Assumptions!$C$8)+AA47</f>
        <v>0</v>
      </c>
      <c r="AC47" s="3">
        <f>(AB47*Assumptions!$C$8)+AB47</f>
        <v>0</v>
      </c>
      <c r="AD47" s="3">
        <f>(AC47*Assumptions!$C$8)+AC47</f>
        <v>0</v>
      </c>
      <c r="AE47" s="3">
        <f>(AD47*Assumptions!$C$8)+AD47</f>
        <v>0</v>
      </c>
      <c r="AF47" s="3">
        <f>(AE47*Assumptions!$C$8)+AE47</f>
        <v>0</v>
      </c>
    </row>
    <row r="48" spans="1:32" hidden="1">
      <c r="B48" s="39" t="s">
        <v>29</v>
      </c>
      <c r="C48" s="3">
        <f>7000</f>
        <v>7000</v>
      </c>
      <c r="D48" s="3">
        <f>(C48*Assumptions!$C$8)+C48</f>
        <v>7210</v>
      </c>
      <c r="E48" s="3">
        <f>(D48*Assumptions!$C$8)+D48</f>
        <v>7426.3</v>
      </c>
      <c r="F48" s="3">
        <f>(E48*Assumptions!$C$8)+E48</f>
        <v>7649.0889999999999</v>
      </c>
      <c r="G48" s="3">
        <f>(F48*Assumptions!$C$8)+F48</f>
        <v>7878.56167</v>
      </c>
      <c r="H48" s="3">
        <f>(G48*Assumptions!$C$8)+G48</f>
        <v>8114.9185201</v>
      </c>
      <c r="I48" s="3">
        <f>(H48*Assumptions!$C$8)+H48</f>
        <v>8358.3660757029993</v>
      </c>
      <c r="J48" s="3">
        <f>(I48*Assumptions!$C$8)+I48</f>
        <v>8609.1170579740901</v>
      </c>
      <c r="K48" s="3">
        <f>(J48*Assumptions!$C$8)+J48</f>
        <v>8867.3905697133123</v>
      </c>
      <c r="L48" s="3">
        <f>(K48*Assumptions!$C$8)+K48</f>
        <v>9133.4122868047125</v>
      </c>
      <c r="M48" s="3">
        <f>(L48*Assumptions!$C$8)+L48</f>
        <v>9407.4146554088547</v>
      </c>
      <c r="N48" s="3">
        <f>(M48*Assumptions!$C$8)+M48</f>
        <v>9689.6370950711207</v>
      </c>
      <c r="O48" s="3">
        <f>(N48*Assumptions!$C$8)+N48</f>
        <v>9980.3262079232536</v>
      </c>
      <c r="P48" s="3">
        <f>(O48*Assumptions!$C$8)+O48</f>
        <v>10279.735994160952</v>
      </c>
      <c r="Q48" s="3">
        <f>(P48*Assumptions!$C$8)+P48</f>
        <v>10588.128073985781</v>
      </c>
      <c r="R48" s="3">
        <f>(Q48*Assumptions!$C$8)+Q48</f>
        <v>10905.771916205355</v>
      </c>
      <c r="S48" s="3">
        <f>(R48*Assumptions!$C$8)+R48</f>
        <v>11232.945073691515</v>
      </c>
      <c r="T48" s="3">
        <f>(S48*Assumptions!$C$8)+S48</f>
        <v>11569.93342590226</v>
      </c>
      <c r="U48" s="3">
        <f>(T48*Assumptions!$C$8)+T48</f>
        <v>11917.031428679327</v>
      </c>
      <c r="V48" s="3">
        <f>(U48*Assumptions!$C$8)+U48</f>
        <v>12274.542371539706</v>
      </c>
      <c r="W48" s="3">
        <f>(V48*Assumptions!$C$8)+V48</f>
        <v>12642.778642685898</v>
      </c>
      <c r="X48" s="3">
        <v>0</v>
      </c>
      <c r="Y48" s="3">
        <f>(X48*Assumptions!$C$8)+X48</f>
        <v>0</v>
      </c>
      <c r="Z48" s="3">
        <f>(Y48*Assumptions!$C$8)+Y48</f>
        <v>0</v>
      </c>
      <c r="AA48" s="3">
        <v>0</v>
      </c>
      <c r="AB48" s="3">
        <f>(AA48*Assumptions!$C$8)+AA48</f>
        <v>0</v>
      </c>
      <c r="AC48" s="3">
        <f>(AB48*Assumptions!$C$8)+AB48</f>
        <v>0</v>
      </c>
      <c r="AD48" s="3">
        <f>(AC48*Assumptions!$C$8)+AC48</f>
        <v>0</v>
      </c>
      <c r="AE48" s="3">
        <f>(AD48*Assumptions!$C$8)+AD48</f>
        <v>0</v>
      </c>
      <c r="AF48" s="3">
        <f>(AE48*Assumptions!$C$8)+AE48</f>
        <v>0</v>
      </c>
    </row>
    <row r="49" spans="1:32" hidden="1">
      <c r="B49" s="39" t="s">
        <v>35</v>
      </c>
      <c r="C49" s="3">
        <f>1500</f>
        <v>1500</v>
      </c>
      <c r="D49" s="3">
        <f>(C49*Assumptions!$C$8)+C49</f>
        <v>1545</v>
      </c>
      <c r="E49" s="3">
        <f>(D49*Assumptions!$C$8)+D49</f>
        <v>1591.35</v>
      </c>
      <c r="F49" s="3">
        <f>(E49*Assumptions!$C$8)+E49</f>
        <v>1639.0904999999998</v>
      </c>
      <c r="G49" s="3">
        <f>(F49*Assumptions!$C$8)+F49</f>
        <v>1688.2632149999997</v>
      </c>
      <c r="H49" s="3">
        <f>(G49*Assumptions!$C$8)+G49</f>
        <v>1738.9111114499997</v>
      </c>
      <c r="I49" s="3">
        <f>(H49*Assumptions!$C$8)+H49</f>
        <v>1791.0784447934998</v>
      </c>
      <c r="J49" s="3">
        <f>(I49*Assumptions!$C$8)+I49</f>
        <v>1844.8107981373048</v>
      </c>
      <c r="K49" s="3">
        <f>(J49*Assumptions!$C$8)+J49</f>
        <v>1900.155122081424</v>
      </c>
      <c r="L49" s="3">
        <f>(K49*Assumptions!$C$8)+K49</f>
        <v>1957.1597757438667</v>
      </c>
      <c r="M49" s="3">
        <f>(L49*Assumptions!$C$8)+L49</f>
        <v>2015.8745690161827</v>
      </c>
      <c r="N49" s="3">
        <f>(M49*Assumptions!$C$8)+M49</f>
        <v>2076.3508060866684</v>
      </c>
      <c r="O49" s="3">
        <f>(N49*Assumptions!$C$8)+N49</f>
        <v>2138.6413302692686</v>
      </c>
      <c r="P49" s="3">
        <f>(O49*Assumptions!$C$8)+O49</f>
        <v>2202.8005701773468</v>
      </c>
      <c r="Q49" s="3">
        <f>(P49*Assumptions!$C$8)+P49</f>
        <v>2268.8845872826673</v>
      </c>
      <c r="R49" s="3">
        <f>(Q49*Assumptions!$C$8)+Q49</f>
        <v>2336.9511249011475</v>
      </c>
      <c r="S49" s="3">
        <f>(R49*Assumptions!$C$8)+R49</f>
        <v>2407.059658648182</v>
      </c>
      <c r="T49" s="3">
        <f>(S49*Assumptions!$C$8)+S49</f>
        <v>2479.2714484076273</v>
      </c>
      <c r="U49" s="3">
        <f>(T49*Assumptions!$C$8)+T49</f>
        <v>2553.6495918598562</v>
      </c>
      <c r="V49" s="3">
        <f>(U49*Assumptions!$C$8)+U49</f>
        <v>2630.2590796156519</v>
      </c>
      <c r="W49" s="3">
        <f>(V49*Assumptions!$C$8)+V49</f>
        <v>2709.1668520041217</v>
      </c>
      <c r="X49" s="3">
        <f>(W49*Assumptions!$C$8)+W49</f>
        <v>2790.4418575642453</v>
      </c>
      <c r="Y49" s="3">
        <f>(X49*Assumptions!$C$8)+X49</f>
        <v>2874.1551132911727</v>
      </c>
      <c r="Z49" s="3">
        <f>(Y49*Assumptions!$C$8)+Y49</f>
        <v>2960.3797666899077</v>
      </c>
      <c r="AA49" s="3">
        <f>(Z49*Assumptions!$C$8)+Z49</f>
        <v>3049.1911596906048</v>
      </c>
      <c r="AB49" s="3">
        <f>(AA49*Assumptions!$C$8)+AA49</f>
        <v>3140.6668944813227</v>
      </c>
      <c r="AC49" s="3">
        <f>(AB49*Assumptions!$C$8)+AB49</f>
        <v>3234.8869013157623</v>
      </c>
      <c r="AD49" s="3">
        <f>(AC49*Assumptions!$C$8)+AC49</f>
        <v>3331.9335083552351</v>
      </c>
      <c r="AE49" s="3">
        <f>(AD49*Assumptions!$C$8)+AD49</f>
        <v>3431.8915136058922</v>
      </c>
      <c r="AF49" s="3">
        <f>(AE49*Assumptions!$C$8)+AE49</f>
        <v>3534.8482590140688</v>
      </c>
    </row>
    <row r="50" spans="1:32" hidden="1">
      <c r="B50" s="39" t="s">
        <v>51</v>
      </c>
      <c r="C50" s="3">
        <f>1000</f>
        <v>1000</v>
      </c>
      <c r="D50" s="3">
        <f>(C50*Assumptions!$C$8)+C50</f>
        <v>1030</v>
      </c>
      <c r="E50" s="3">
        <f>(D50*Assumptions!$C$8)+D50</f>
        <v>1060.9000000000001</v>
      </c>
      <c r="F50" s="3">
        <f>(E50*Assumptions!$C$8)+E50</f>
        <v>1092.7270000000001</v>
      </c>
      <c r="G50" s="3">
        <f>(F50*Assumptions!$C$8)+F50</f>
        <v>1125.50881</v>
      </c>
      <c r="H50" s="3">
        <f>(G50*Assumptions!$C$8)+G50</f>
        <v>1159.2740742999999</v>
      </c>
      <c r="I50" s="3">
        <f>(H50*Assumptions!$C$8)+H50</f>
        <v>1194.0522965289999</v>
      </c>
      <c r="J50" s="3">
        <f>(I50*Assumptions!$C$8)+I50</f>
        <v>1229.87386542487</v>
      </c>
      <c r="K50" s="3">
        <f>(J50*Assumptions!$C$8)+J50</f>
        <v>1266.7700813876161</v>
      </c>
      <c r="L50" s="3">
        <f>(K50*Assumptions!$C$8)+K50</f>
        <v>1304.7731838292445</v>
      </c>
      <c r="M50" s="3">
        <f>(L50*Assumptions!$C$8)+L50</f>
        <v>1343.9163793441219</v>
      </c>
      <c r="N50" s="3">
        <f>(M50*Assumptions!$C$8)+M50</f>
        <v>1384.2338707244455</v>
      </c>
      <c r="O50" s="3">
        <f>(N50*Assumptions!$C$8)+N50</f>
        <v>1425.7608868461789</v>
      </c>
      <c r="P50" s="3">
        <f>(O50*Assumptions!$C$8)+O50</f>
        <v>1468.5337134515642</v>
      </c>
      <c r="Q50" s="3">
        <f>(P50*Assumptions!$C$8)+P50</f>
        <v>1512.5897248551112</v>
      </c>
      <c r="R50" s="3">
        <f>(Q50*Assumptions!$C$8)+Q50</f>
        <v>1557.9674166007644</v>
      </c>
      <c r="S50" s="3">
        <f>(R50*Assumptions!$C$8)+R50</f>
        <v>1604.7064390987873</v>
      </c>
      <c r="T50" s="3">
        <f>(S50*Assumptions!$C$8)+S50</f>
        <v>1652.8476322717509</v>
      </c>
      <c r="U50" s="3">
        <f>(T50*Assumptions!$C$8)+T50</f>
        <v>1702.4330612399033</v>
      </c>
      <c r="V50" s="3">
        <f>(U50*Assumptions!$C$8)+U50</f>
        <v>1753.5060530771004</v>
      </c>
      <c r="W50" s="3">
        <f>(V50*Assumptions!$C$8)+V50</f>
        <v>1806.1112346694135</v>
      </c>
      <c r="X50" s="3">
        <f>(W50*Assumptions!$C$8)+W50</f>
        <v>1860.294571709496</v>
      </c>
      <c r="Y50" s="3">
        <f>(X50*Assumptions!$C$8)+X50</f>
        <v>1916.103408860781</v>
      </c>
      <c r="Z50" s="3">
        <f>(Y50*Assumptions!$C$8)+Y50</f>
        <v>1973.5865111266044</v>
      </c>
      <c r="AA50" s="3">
        <f>(Z50*Assumptions!$C$8)+Z50</f>
        <v>2032.7941064604024</v>
      </c>
      <c r="AB50" s="3">
        <f>(AA50*Assumptions!$C$8)+AA50</f>
        <v>2093.7779296542144</v>
      </c>
      <c r="AC50" s="3">
        <f>(AB50*Assumptions!$C$8)+AB50</f>
        <v>2156.5912675438408</v>
      </c>
      <c r="AD50" s="3">
        <f>(AC50*Assumptions!$C$8)+AC50</f>
        <v>2221.289005570156</v>
      </c>
      <c r="AE50" s="3">
        <f>(AD50*Assumptions!$C$8)+AD50</f>
        <v>2287.9276757372604</v>
      </c>
      <c r="AF50" s="3">
        <f>(AE50*Assumptions!$C$8)+AE50</f>
        <v>2356.5655060093782</v>
      </c>
    </row>
    <row r="51" spans="1:32" hidden="1">
      <c r="B51" s="39" t="s">
        <v>27</v>
      </c>
      <c r="C51" s="3">
        <f>5000</f>
        <v>5000</v>
      </c>
      <c r="D51" s="3">
        <f>(C51*Assumptions!$C$8)+C51</f>
        <v>5150</v>
      </c>
      <c r="E51" s="3">
        <f>(D51*Assumptions!$C$8)+D51</f>
        <v>5304.5</v>
      </c>
      <c r="F51" s="3">
        <f>(E51*Assumptions!$C$8)+E51</f>
        <v>5463.6350000000002</v>
      </c>
      <c r="G51" s="3">
        <f>(F51*Assumptions!$C$8)+F51</f>
        <v>5627.5440500000004</v>
      </c>
      <c r="H51" s="3">
        <f>(G51*Assumptions!$C$8)+G51</f>
        <v>5796.3703715000001</v>
      </c>
      <c r="I51" s="3">
        <f>(H51*Assumptions!$C$8)+H51</f>
        <v>5970.2614826449999</v>
      </c>
      <c r="J51" s="3">
        <f>(I51*Assumptions!$C$8)+I51</f>
        <v>6149.3693271243501</v>
      </c>
      <c r="K51" s="3">
        <f>(J51*Assumptions!$C$8)+J51</f>
        <v>6333.8504069380806</v>
      </c>
      <c r="L51" s="3">
        <f>(K51*-Assumptions!$C$8)+K51</f>
        <v>6143.8348947299382</v>
      </c>
      <c r="M51" s="3">
        <f>(L51*-Assumptions!$C$8)+L51</f>
        <v>5959.5198478880402</v>
      </c>
      <c r="N51" s="3">
        <f>(M51*-Assumptions!$C$8)+M51</f>
        <v>5780.7342524513988</v>
      </c>
      <c r="O51" s="3">
        <f>(N51*-Assumptions!$C$8)+N51</f>
        <v>5607.3122248778573</v>
      </c>
      <c r="P51" s="3">
        <f>(O51*-Assumptions!$C$8)+O51</f>
        <v>5439.092858131522</v>
      </c>
      <c r="Q51" s="3">
        <f>(P51*-Assumptions!$C$8)+P51</f>
        <v>5275.9200723875765</v>
      </c>
      <c r="R51" s="3">
        <f>(Q51*-Assumptions!$C$8)+Q51</f>
        <v>5117.6424702159493</v>
      </c>
      <c r="S51" s="3">
        <f>(R51*-Assumptions!$C$8)+R51</f>
        <v>4964.1131961094707</v>
      </c>
      <c r="T51" s="3">
        <f>(S51*-Assumptions!$C$8)+S51</f>
        <v>4815.1898002261869</v>
      </c>
      <c r="U51" s="3">
        <f>(T51*-Assumptions!$C$8)+T51</f>
        <v>4670.7341062194009</v>
      </c>
      <c r="V51" s="3">
        <f>(U51*-Assumptions!$C$8)+U51</f>
        <v>4530.6120830328191</v>
      </c>
      <c r="W51" s="3">
        <f>(V51*-Assumptions!$C$8)+V51</f>
        <v>4394.6937205418344</v>
      </c>
      <c r="X51" s="3">
        <v>0</v>
      </c>
      <c r="Y51" s="3">
        <f>(X51*-Assumptions!$C$8)+X51</f>
        <v>0</v>
      </c>
      <c r="Z51" s="3">
        <f>(Y51*-Assumptions!$C$8)+Y51</f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</row>
    <row r="52" spans="1:32" hidden="1">
      <c r="B52" s="39" t="s">
        <v>101</v>
      </c>
      <c r="C52" s="3">
        <f>3000</f>
        <v>3000</v>
      </c>
      <c r="D52" s="3">
        <f>(C52*Assumptions!$C$8)+C52</f>
        <v>3090</v>
      </c>
      <c r="E52" s="3">
        <f>(D52*Assumptions!$C$8)+D52</f>
        <v>3182.7</v>
      </c>
      <c r="F52" s="3">
        <f>(E52*Assumptions!$C$8)+E52</f>
        <v>3278.1809999999996</v>
      </c>
      <c r="G52" s="3">
        <f>(F52*Assumptions!$C$8)+F52</f>
        <v>3376.5264299999994</v>
      </c>
      <c r="H52" s="3">
        <f>(G52*Assumptions!$C$8)+G52</f>
        <v>3477.8222228999994</v>
      </c>
      <c r="I52" s="3">
        <f>(H52*Assumptions!$C$8)+H52</f>
        <v>3582.1568895869996</v>
      </c>
      <c r="J52" s="3">
        <f>(I52*Assumptions!$C$8)+I52</f>
        <v>3689.6215962746096</v>
      </c>
      <c r="K52" s="3">
        <f>(J52*Assumptions!$C$8)+J52</f>
        <v>3800.310244162848</v>
      </c>
      <c r="L52" s="3">
        <f>(K52*-Assumptions!$C$8)+K52</f>
        <v>3686.3009368379626</v>
      </c>
      <c r="M52" s="3">
        <f>(L52*-Assumptions!$C$8)+L52</f>
        <v>3575.7119087328238</v>
      </c>
      <c r="N52" s="3">
        <f>(M52*-Assumptions!$C$8)+M52</f>
        <v>3468.4405514708392</v>
      </c>
      <c r="O52" s="3">
        <f>(N52*-Assumptions!$C$8)+N52</f>
        <v>3364.3873349267142</v>
      </c>
      <c r="P52" s="32">
        <f>(O52*-Assumptions!$C$8)+O52</f>
        <v>3263.4557148789127</v>
      </c>
      <c r="Q52" s="3">
        <f>(P52*-Assumptions!$C$8)+P52</f>
        <v>3165.5520434325454</v>
      </c>
      <c r="R52" s="3">
        <f>(Q52*-Assumptions!$C$8)+Q52</f>
        <v>3070.5854821295688</v>
      </c>
      <c r="S52" s="3">
        <f>(R52*-Assumptions!$C$8)+R52</f>
        <v>2978.4679176656819</v>
      </c>
      <c r="T52" s="3">
        <f>(S52*-Assumptions!$C$8)+S52</f>
        <v>2889.1138801357115</v>
      </c>
      <c r="U52" s="3">
        <f>(T52*-Assumptions!$C$8)+T52</f>
        <v>2802.4404637316402</v>
      </c>
      <c r="V52" s="3">
        <f>(U52*-Assumptions!$C$8)+U52</f>
        <v>2718.3672498196911</v>
      </c>
      <c r="W52" s="3">
        <f>(V52*-Assumptions!$C$8)+V52</f>
        <v>2636.8162323251004</v>
      </c>
      <c r="X52" s="3">
        <v>0</v>
      </c>
      <c r="Y52" s="3">
        <f>(X52*-Assumptions!$C$8)+X52</f>
        <v>0</v>
      </c>
      <c r="Z52" s="3">
        <f>(Y52*-Assumptions!$C$8)+Y52</f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</row>
    <row r="53" spans="1:32" s="33" customFormat="1">
      <c r="B53" s="45" t="s">
        <v>35</v>
      </c>
      <c r="C53" s="34">
        <f>SUM(C46:C52)</f>
        <v>25700</v>
      </c>
      <c r="D53" s="34">
        <f t="shared" ref="D53:AF53" si="7">SUM(D46:D52)</f>
        <v>26471</v>
      </c>
      <c r="E53" s="34">
        <f t="shared" si="7"/>
        <v>27265.13</v>
      </c>
      <c r="F53" s="34">
        <f t="shared" si="7"/>
        <v>28083.083900000001</v>
      </c>
      <c r="G53" s="34">
        <f t="shared" si="7"/>
        <v>28925.576416999997</v>
      </c>
      <c r="H53" s="34">
        <f t="shared" si="7"/>
        <v>29793.343709509998</v>
      </c>
      <c r="I53" s="34">
        <f t="shared" si="7"/>
        <v>30687.144020795298</v>
      </c>
      <c r="J53" s="34">
        <f t="shared" si="7"/>
        <v>31607.758341419158</v>
      </c>
      <c r="K53" s="34">
        <f t="shared" si="7"/>
        <v>32555.99109166173</v>
      </c>
      <c r="L53" s="34">
        <f t="shared" si="7"/>
        <v>32924.621185345532</v>
      </c>
      <c r="M53" s="34">
        <f t="shared" si="7"/>
        <v>33322.551671011825</v>
      </c>
      <c r="N53" s="34">
        <f t="shared" si="7"/>
        <v>33750.114315744926</v>
      </c>
      <c r="O53" s="34">
        <f t="shared" si="7"/>
        <v>34207.667256981942</v>
      </c>
      <c r="P53" s="34">
        <f t="shared" si="7"/>
        <v>34695.595301103123</v>
      </c>
      <c r="Q53" s="34">
        <f t="shared" si="7"/>
        <v>35214.310245755601</v>
      </c>
      <c r="R53" s="34">
        <f t="shared" si="7"/>
        <v>35764.251226179054</v>
      </c>
      <c r="S53" s="34">
        <f t="shared" si="7"/>
        <v>36345.885085823691</v>
      </c>
      <c r="T53" s="34">
        <f t="shared" si="7"/>
        <v>36959.706771571895</v>
      </c>
      <c r="U53" s="34">
        <f t="shared" si="7"/>
        <v>37606.239753897338</v>
      </c>
      <c r="V53" s="34">
        <f t="shared" si="7"/>
        <v>38286.036472317195</v>
      </c>
      <c r="W53" s="34">
        <f t="shared" si="7"/>
        <v>38999.678806515563</v>
      </c>
      <c r="X53" s="34">
        <f t="shared" si="7"/>
        <v>4650.7364292737411</v>
      </c>
      <c r="Y53" s="34">
        <f t="shared" si="7"/>
        <v>4790.2585221519539</v>
      </c>
      <c r="Z53" s="34">
        <f t="shared" si="7"/>
        <v>4933.966277816512</v>
      </c>
      <c r="AA53" s="34">
        <f t="shared" si="7"/>
        <v>5081.9852661510067</v>
      </c>
      <c r="AB53" s="34">
        <f t="shared" si="7"/>
        <v>5234.4448241355367</v>
      </c>
      <c r="AC53" s="34">
        <f t="shared" si="7"/>
        <v>5391.4781688596031</v>
      </c>
      <c r="AD53" s="34">
        <f t="shared" si="7"/>
        <v>5553.2225139253915</v>
      </c>
      <c r="AE53" s="34">
        <f t="shared" si="7"/>
        <v>5719.8191893431522</v>
      </c>
      <c r="AF53" s="34">
        <f t="shared" si="7"/>
        <v>5891.413765023447</v>
      </c>
    </row>
    <row r="54" spans="1:32">
      <c r="B54" t="s">
        <v>28</v>
      </c>
      <c r="C54" s="3">
        <v>20000</v>
      </c>
      <c r="D54" s="3">
        <f>(C54*Assumptions!$C$8)+C54</f>
        <v>20600</v>
      </c>
      <c r="E54" s="3">
        <f>(D54*Assumptions!$C$8)+D54</f>
        <v>21218</v>
      </c>
      <c r="F54" s="3">
        <f>(E54*Assumptions!$C$8)+E54</f>
        <v>21854.54</v>
      </c>
      <c r="G54" s="3">
        <f>(F54*Assumptions!$C$8)+F54</f>
        <v>22510.176200000002</v>
      </c>
      <c r="H54" s="3">
        <f>(G54*Assumptions!$C$8)+G54</f>
        <v>23185.481486000001</v>
      </c>
      <c r="I54" s="3">
        <f>(H54*Assumptions!$C$8)+H54</f>
        <v>23881.04593058</v>
      </c>
      <c r="J54" s="3">
        <f>(I54*Assumptions!$C$8)+I54</f>
        <v>24597.4773084974</v>
      </c>
      <c r="K54" s="3">
        <f>(J54*Assumptions!$C$8)+J54</f>
        <v>25335.401627752322</v>
      </c>
      <c r="L54" s="3">
        <f>(K54*Assumptions!$C$8)+K54</f>
        <v>26095.463676584892</v>
      </c>
      <c r="M54" s="3">
        <f>(L54*Assumptions!$C$8)+L54</f>
        <v>26878.327586882438</v>
      </c>
      <c r="N54" s="3">
        <f>(M54*Assumptions!$C$8)+M54</f>
        <v>27684.677414488913</v>
      </c>
      <c r="O54" s="34">
        <f>(N54*Assumptions!$C$8)+N54</f>
        <v>28515.21773692358</v>
      </c>
      <c r="P54" s="34">
        <f>(O54*Assumptions!$C$8)+O54</f>
        <v>29370.674269031286</v>
      </c>
      <c r="Q54" s="34">
        <f>(P54*Assumptions!$C$8)+P54</f>
        <v>30251.794497102223</v>
      </c>
      <c r="R54" s="34">
        <f>(Q54*Assumptions!$C$8)+Q54</f>
        <v>31159.348332015288</v>
      </c>
      <c r="S54" s="34">
        <f>(R54*Assumptions!$C$8)+R54</f>
        <v>32094.128781975745</v>
      </c>
      <c r="T54" s="34">
        <f>(S54*Assumptions!$C$8)+S54</f>
        <v>33056.95264543502</v>
      </c>
      <c r="U54" s="34">
        <f>(T54*Assumptions!$C$8)+T54</f>
        <v>34048.661224798074</v>
      </c>
      <c r="V54" s="34">
        <f>(U54*Assumptions!$C$8)+U54</f>
        <v>35070.121061542013</v>
      </c>
      <c r="W54" s="34">
        <f>(V54*Assumptions!$C$8)+V54</f>
        <v>36122.224693388271</v>
      </c>
      <c r="X54" s="34">
        <v>10000</v>
      </c>
      <c r="Y54" s="34">
        <f>(X54*Assumptions!$C$8)+X54</f>
        <v>10300</v>
      </c>
      <c r="Z54" s="34">
        <f>(Y54*Assumptions!$C$8)+Y54</f>
        <v>10609</v>
      </c>
      <c r="AA54" s="34">
        <f>(Z54*Assumptions!$C$8)+Z54</f>
        <v>10927.27</v>
      </c>
      <c r="AB54" s="34">
        <f>(AA54*Assumptions!$C$8)+AA54</f>
        <v>11255.088100000001</v>
      </c>
      <c r="AC54" s="34">
        <f>(AB54*Assumptions!$C$8)+AB54</f>
        <v>11592.740743</v>
      </c>
      <c r="AD54" s="34">
        <f>(AC54*Assumptions!$C$8)+AC54</f>
        <v>11940.52296529</v>
      </c>
      <c r="AE54" s="34">
        <f>(AD54*Assumptions!$C$8)+AD54</f>
        <v>12298.7386542487</v>
      </c>
      <c r="AF54" s="34">
        <f>(AE54*Assumptions!$C$8)+AE54</f>
        <v>12667.700813876161</v>
      </c>
    </row>
    <row r="55" spans="1:32" hidden="1">
      <c r="A55" s="33"/>
      <c r="B55" s="43" t="s">
        <v>7</v>
      </c>
      <c r="C55" s="3">
        <f>20000</f>
        <v>20000</v>
      </c>
      <c r="D55" s="3">
        <f>(C55*Assumptions!$C$8)+C55</f>
        <v>20600</v>
      </c>
      <c r="E55" s="3">
        <f>(D55*Assumptions!$C$8)+D55</f>
        <v>21218</v>
      </c>
      <c r="F55" s="3">
        <f>(E55*Assumptions!$C$8)+E55</f>
        <v>21854.54</v>
      </c>
      <c r="G55" s="3">
        <f>(F55*Assumptions!$C$8)+F55</f>
        <v>22510.176200000002</v>
      </c>
      <c r="H55" s="3">
        <f>(G55*Assumptions!$C$8)+G55</f>
        <v>23185.481486000001</v>
      </c>
      <c r="I55" s="3">
        <f>(H55*Assumptions!$C$8)+H55</f>
        <v>23881.04593058</v>
      </c>
      <c r="J55" s="3">
        <f>(I55*Assumptions!$C$8)+I55</f>
        <v>24597.4773084974</v>
      </c>
      <c r="K55" s="3">
        <f>(J55*Assumptions!$C$8)+J55</f>
        <v>25335.401627752322</v>
      </c>
      <c r="L55" s="3">
        <f>(K55*Assumptions!$C$8)+K55</f>
        <v>26095.463676584892</v>
      </c>
      <c r="M55" s="3">
        <f>(L55*Assumptions!$C$8)+L55</f>
        <v>26878.327586882438</v>
      </c>
      <c r="N55" s="3">
        <f>(M55*Assumptions!$C$8)+M55</f>
        <v>27684.677414488913</v>
      </c>
      <c r="O55" s="3">
        <f>(N55*Assumptions!$C$8)+N55</f>
        <v>28515.21773692358</v>
      </c>
      <c r="P55" s="3">
        <f>(O55*Assumptions!$C$8)+O55</f>
        <v>29370.674269031286</v>
      </c>
      <c r="Q55" s="3">
        <f>(P55*Assumptions!$C$8)+P55</f>
        <v>30251.794497102223</v>
      </c>
      <c r="R55" s="3">
        <f>(Q55*Assumptions!$C$8)+Q55</f>
        <v>31159.348332015288</v>
      </c>
      <c r="S55" s="3">
        <f>(R55*Assumptions!$C$8)+R55</f>
        <v>32094.128781975745</v>
      </c>
      <c r="T55" s="3">
        <f>(S55*Assumptions!$C$8)+S55</f>
        <v>33056.95264543502</v>
      </c>
      <c r="U55" s="3">
        <f>(T55*Assumptions!$C$8)+T55</f>
        <v>34048.661224798074</v>
      </c>
      <c r="V55" s="3">
        <f>(U55*Assumptions!$C$8)+U55</f>
        <v>35070.121061542013</v>
      </c>
      <c r="W55" s="3">
        <f>(V55*Assumptions!$C$8)+V55</f>
        <v>36122.224693388271</v>
      </c>
      <c r="X55" s="3">
        <f>(W55*Assumptions!$C$8)+W55</f>
        <v>37205.891434189922</v>
      </c>
      <c r="Y55" s="3">
        <f>(X55*Assumptions!$C$8)+X55</f>
        <v>38322.068177215617</v>
      </c>
      <c r="Z55" s="3">
        <f>(Y55*Assumptions!$C$8)+Y55</f>
        <v>39471.730222532082</v>
      </c>
      <c r="AA55" s="3">
        <f>(Z55*Assumptions!$C$8)+Z55</f>
        <v>40655.882129208047</v>
      </c>
      <c r="AB55" s="3">
        <f>(AA55*Assumptions!$C$8)+AA55</f>
        <v>41875.558593084286</v>
      </c>
      <c r="AC55" s="3">
        <f>(AB55*Assumptions!$C$8)+AB55</f>
        <v>43131.825350876818</v>
      </c>
      <c r="AD55" s="3">
        <f>(AC55*Assumptions!$C$8)+AC55</f>
        <v>44425.780111403124</v>
      </c>
      <c r="AE55" s="3">
        <f>(AD55*Assumptions!$C$8)+AD55</f>
        <v>45758.553514745217</v>
      </c>
      <c r="AF55" s="3">
        <f>(AE55*Assumptions!$C$8)+AE55</f>
        <v>47131.310120187576</v>
      </c>
    </row>
    <row r="56" spans="1:32" hidden="1">
      <c r="B56" s="43" t="s">
        <v>40</v>
      </c>
      <c r="C56" s="3">
        <f>2000</f>
        <v>2000</v>
      </c>
      <c r="D56" s="3">
        <f>(C56*Assumptions!$C$8)+C56</f>
        <v>2060</v>
      </c>
      <c r="E56" s="3">
        <f>(D56*Assumptions!$C$8)+D56</f>
        <v>2121.8000000000002</v>
      </c>
      <c r="F56" s="3">
        <f>(E56*Assumptions!$C$8)+E56</f>
        <v>2185.4540000000002</v>
      </c>
      <c r="G56" s="3">
        <f>(F56*Assumptions!$C$8)+F56</f>
        <v>2251.0176200000001</v>
      </c>
      <c r="H56" s="34">
        <v>0</v>
      </c>
      <c r="I56" s="44">
        <v>0</v>
      </c>
      <c r="J56" s="44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</row>
    <row r="57" spans="1:32" s="33" customFormat="1">
      <c r="B57" s="45" t="s">
        <v>7</v>
      </c>
      <c r="C57" s="34">
        <f>SUM(C55:C56)</f>
        <v>22000</v>
      </c>
      <c r="D57" s="34">
        <f t="shared" ref="D57:AF57" si="8">SUM(D55:D56)</f>
        <v>22660</v>
      </c>
      <c r="E57" s="34">
        <f t="shared" si="8"/>
        <v>23339.8</v>
      </c>
      <c r="F57" s="34">
        <f t="shared" si="8"/>
        <v>24039.994000000002</v>
      </c>
      <c r="G57" s="34">
        <f t="shared" si="8"/>
        <v>24761.19382</v>
      </c>
      <c r="H57" s="34">
        <f t="shared" si="8"/>
        <v>23185.481486000001</v>
      </c>
      <c r="I57" s="34">
        <f t="shared" si="8"/>
        <v>23881.04593058</v>
      </c>
      <c r="J57" s="34">
        <f t="shared" si="8"/>
        <v>24597.4773084974</v>
      </c>
      <c r="K57" s="34">
        <f t="shared" si="8"/>
        <v>25335.401627752322</v>
      </c>
      <c r="L57" s="34">
        <f t="shared" si="8"/>
        <v>26095.463676584892</v>
      </c>
      <c r="M57" s="34">
        <f t="shared" si="8"/>
        <v>26878.327586882438</v>
      </c>
      <c r="N57" s="34">
        <f t="shared" si="8"/>
        <v>27684.677414488913</v>
      </c>
      <c r="O57" s="34">
        <f t="shared" si="8"/>
        <v>28515.21773692358</v>
      </c>
      <c r="P57" s="34">
        <f t="shared" si="8"/>
        <v>29370.674269031286</v>
      </c>
      <c r="Q57" s="34">
        <f t="shared" si="8"/>
        <v>30251.794497102223</v>
      </c>
      <c r="R57" s="34">
        <f t="shared" si="8"/>
        <v>31159.348332015288</v>
      </c>
      <c r="S57" s="34">
        <f t="shared" si="8"/>
        <v>32094.128781975745</v>
      </c>
      <c r="T57" s="34">
        <f t="shared" si="8"/>
        <v>33056.95264543502</v>
      </c>
      <c r="U57" s="34">
        <f t="shared" si="8"/>
        <v>34048.661224798074</v>
      </c>
      <c r="V57" s="34">
        <f t="shared" si="8"/>
        <v>35070.121061542013</v>
      </c>
      <c r="W57" s="34">
        <f t="shared" si="8"/>
        <v>36122.224693388271</v>
      </c>
      <c r="X57" s="34">
        <f t="shared" si="8"/>
        <v>37205.891434189922</v>
      </c>
      <c r="Y57" s="34">
        <f t="shared" si="8"/>
        <v>38322.068177215617</v>
      </c>
      <c r="Z57" s="34">
        <f t="shared" si="8"/>
        <v>39471.730222532082</v>
      </c>
      <c r="AA57" s="34">
        <f t="shared" si="8"/>
        <v>40655.882129208047</v>
      </c>
      <c r="AB57" s="34">
        <f t="shared" si="8"/>
        <v>41875.558593084286</v>
      </c>
      <c r="AC57" s="34">
        <f t="shared" si="8"/>
        <v>43131.825350876818</v>
      </c>
      <c r="AD57" s="34">
        <f t="shared" si="8"/>
        <v>44425.780111403124</v>
      </c>
      <c r="AE57" s="34">
        <f t="shared" si="8"/>
        <v>45758.553514745217</v>
      </c>
      <c r="AF57" s="34">
        <f t="shared" si="8"/>
        <v>47131.310120187576</v>
      </c>
    </row>
    <row r="58" spans="1:32">
      <c r="B58" t="s">
        <v>8</v>
      </c>
      <c r="C58" s="19">
        <v>10000</v>
      </c>
      <c r="D58" s="3">
        <f>(C58*Assumptions!$C$8)+C58</f>
        <v>10300</v>
      </c>
      <c r="E58" s="3">
        <f>(D58*Assumptions!$C$8)+D58</f>
        <v>10609</v>
      </c>
      <c r="F58" s="3">
        <f>(E58*Assumptions!$C$8)+E58</f>
        <v>10927.27</v>
      </c>
      <c r="G58" s="3">
        <f>(F58*Assumptions!$C$8)+F58</f>
        <v>11255.088100000001</v>
      </c>
      <c r="H58" s="3">
        <f>(G58*Assumptions!$C$8)+G58</f>
        <v>11592.740743</v>
      </c>
      <c r="I58" s="3">
        <f>(H58*Assumptions!$C$8)+H58</f>
        <v>11940.52296529</v>
      </c>
      <c r="J58" s="3">
        <f>(I58*Assumptions!$C$8)+I58</f>
        <v>12298.7386542487</v>
      </c>
      <c r="K58" s="3">
        <f>(J58*Assumptions!$C$8)+J58</f>
        <v>12667.700813876161</v>
      </c>
      <c r="L58" s="3">
        <f>(K58*Assumptions!$C$8)+K58</f>
        <v>13047.731838292446</v>
      </c>
      <c r="M58" s="3">
        <f>(L58*Assumptions!$C$8)+L58</f>
        <v>13439.163793441219</v>
      </c>
      <c r="N58" s="3">
        <f>(M58*Assumptions!$C$8)+M58</f>
        <v>13842.338707244457</v>
      </c>
      <c r="O58" s="3">
        <f>(N58*Assumptions!$C$8)+N58</f>
        <v>14257.60886846179</v>
      </c>
      <c r="P58" s="3">
        <f>(O58*Assumptions!$C$8)+O58</f>
        <v>14685.337134515643</v>
      </c>
      <c r="Q58" s="3">
        <f>(P58*Assumptions!$C$8)+P58</f>
        <v>15125.897248551111</v>
      </c>
      <c r="R58" s="3">
        <f>(Q58*Assumptions!$C$8)+Q58</f>
        <v>15579.674166007644</v>
      </c>
      <c r="S58" s="3">
        <f>(R58*Assumptions!$C$8)+R58</f>
        <v>16047.064390987873</v>
      </c>
      <c r="T58" s="3">
        <f>(S58*Assumptions!$C$8)+S58</f>
        <v>16528.47632271751</v>
      </c>
      <c r="U58" s="3">
        <f>(T58*Assumptions!$C$8)+T58</f>
        <v>17024.330612399037</v>
      </c>
      <c r="V58" s="3">
        <f>(U58*Assumptions!$C$8)+U58</f>
        <v>17535.060530771007</v>
      </c>
      <c r="W58" s="3">
        <f>(V58*Assumptions!$C$8)+V58</f>
        <v>18061.112346694135</v>
      </c>
      <c r="X58" s="3">
        <f>(W58*Assumptions!$C$8)+W58</f>
        <v>18602.945717094961</v>
      </c>
      <c r="Y58" s="3">
        <f>(X58*Assumptions!$C$8)+X58</f>
        <v>19161.034088607808</v>
      </c>
      <c r="Z58" s="3">
        <f>(Y58*Assumptions!$C$8)+Y58</f>
        <v>19735.865111266041</v>
      </c>
      <c r="AA58" s="3">
        <f>(Z58*Assumptions!$C$8)+Z58</f>
        <v>20327.941064604023</v>
      </c>
      <c r="AB58" s="3">
        <f>(AA58*Assumptions!$C$8)+AA58</f>
        <v>20937.779296542143</v>
      </c>
      <c r="AC58" s="3">
        <f>(AB58*Assumptions!$C$8)+AB58</f>
        <v>21565.912675438409</v>
      </c>
      <c r="AD58" s="3">
        <f>(AC58*Assumptions!$C$8)+AC58</f>
        <v>22212.890055701562</v>
      </c>
      <c r="AE58" s="3">
        <f>(AD58*Assumptions!$C$8)+AD58</f>
        <v>22879.276757372609</v>
      </c>
      <c r="AF58" s="3">
        <f>(AE58*Assumptions!$C$8)+AE58</f>
        <v>23565.655060093788</v>
      </c>
    </row>
    <row r="59" spans="1:32">
      <c r="B59" t="s">
        <v>30</v>
      </c>
      <c r="C59" s="3">
        <f>23000</f>
        <v>23000</v>
      </c>
      <c r="D59" s="3">
        <f>(C59*Assumptions!$C$8)+C59</f>
        <v>23690</v>
      </c>
      <c r="E59" s="3">
        <f>(D59*Assumptions!$C$8)+D59</f>
        <v>24400.7</v>
      </c>
      <c r="F59" s="3">
        <f>(E59*Assumptions!$C$8)+E59</f>
        <v>25132.721000000001</v>
      </c>
      <c r="G59" s="3">
        <f>(F59*Assumptions!$C$8)+F59</f>
        <v>25886.70263</v>
      </c>
      <c r="H59" s="34">
        <v>0</v>
      </c>
      <c r="I59" s="18">
        <v>0</v>
      </c>
      <c r="J59" s="18">
        <f>(I59*Assumptions!$C$8)+I59</f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</row>
    <row r="60" spans="1:32">
      <c r="B60" t="s">
        <v>5</v>
      </c>
      <c r="C60" s="3">
        <f>25000</f>
        <v>25000</v>
      </c>
      <c r="D60" s="3">
        <f>(C60*Assumptions!$C$8)+C60</f>
        <v>25750</v>
      </c>
      <c r="E60" s="3">
        <f>(D60*Assumptions!$C$8)+D60</f>
        <v>26522.5</v>
      </c>
      <c r="F60" s="3">
        <f>(E60*Assumptions!$C$8)+E60</f>
        <v>27318.174999999999</v>
      </c>
      <c r="G60" s="3">
        <f>(F60*Assumptions!$C$8)+F60</f>
        <v>28137.720249999998</v>
      </c>
      <c r="H60" s="34">
        <v>0</v>
      </c>
      <c r="I60" s="18">
        <v>0</v>
      </c>
      <c r="J60" s="18">
        <f>(I60*Assumptions!$C$8)+I60</f>
        <v>0</v>
      </c>
      <c r="K60" s="3">
        <v>0</v>
      </c>
      <c r="L60" s="3">
        <v>0</v>
      </c>
      <c r="M60" s="3">
        <f>(L60*Assumptions!$C$8)+L60</f>
        <v>0</v>
      </c>
      <c r="N60" s="3">
        <f>(M60*Assumptions!$C$8)+M60</f>
        <v>0</v>
      </c>
      <c r="O60" s="3">
        <f>(N60*Assumptions!$C$8)+N60</f>
        <v>0</v>
      </c>
      <c r="P60" s="3">
        <f>(O60*Assumptions!$C$8)+O60</f>
        <v>0</v>
      </c>
      <c r="Q60" s="3">
        <f>(P60*Assumptions!$C$8)+P60</f>
        <v>0</v>
      </c>
      <c r="R60" s="3">
        <f>(Q60*Assumptions!$C$8)+Q60</f>
        <v>0</v>
      </c>
      <c r="S60" s="3">
        <f>(R60*Assumptions!$C$8)+R60</f>
        <v>0</v>
      </c>
      <c r="T60" s="3">
        <f>(S60*Assumptions!$C$8)+S60</f>
        <v>0</v>
      </c>
      <c r="U60" s="3">
        <f>(T60*Assumptions!$C$8)+T60</f>
        <v>0</v>
      </c>
      <c r="V60" s="3">
        <f>(U60*Assumptions!$C$8)+U60</f>
        <v>0</v>
      </c>
      <c r="W60" s="3">
        <f>(V60*Assumptions!$C$8)+V60</f>
        <v>0</v>
      </c>
      <c r="X60" s="3">
        <f>(W60*Assumptions!$C$8)+W60</f>
        <v>0</v>
      </c>
      <c r="Y60" s="3">
        <f>(X60*Assumptions!$C$8)+X60</f>
        <v>0</v>
      </c>
      <c r="Z60" s="3">
        <f>(Y60*Assumptions!$C$8)+Y60</f>
        <v>0</v>
      </c>
      <c r="AA60" s="3">
        <f>(Z60*Assumptions!$C$8)+Z60</f>
        <v>0</v>
      </c>
      <c r="AB60" s="3">
        <f>(AA60*Assumptions!$C$8)+AA60</f>
        <v>0</v>
      </c>
      <c r="AC60" s="3">
        <f>(AB60*Assumptions!$C$8)+AB60</f>
        <v>0</v>
      </c>
      <c r="AD60" s="3">
        <f>(AC60*Assumptions!$C$8)+AC60</f>
        <v>0</v>
      </c>
      <c r="AE60" s="3">
        <f>(AD60*Assumptions!$C$8)+AD60</f>
        <v>0</v>
      </c>
      <c r="AF60" s="3">
        <f>(AE60*Assumptions!$C$8)+AE60</f>
        <v>0</v>
      </c>
    </row>
    <row r="61" spans="1:32">
      <c r="B61" t="s">
        <v>36</v>
      </c>
      <c r="C61" s="3">
        <f>4000</f>
        <v>4000</v>
      </c>
      <c r="D61" s="3">
        <f>(C61*Assumptions!$C$8)+C61</f>
        <v>4120</v>
      </c>
      <c r="E61" s="3">
        <f>(D61*Assumptions!$C$8)+D61</f>
        <v>4243.6000000000004</v>
      </c>
      <c r="F61" s="3">
        <f>(E61*Assumptions!$C$8)+E61</f>
        <v>4370.9080000000004</v>
      </c>
      <c r="G61" s="3">
        <f>(F61*Assumptions!$C$8)+F61</f>
        <v>4502.0352400000002</v>
      </c>
      <c r="H61" s="34">
        <v>0</v>
      </c>
      <c r="I61" s="18">
        <v>0</v>
      </c>
      <c r="J61" s="18">
        <f>(I61*Assumptions!$C$8)+I61</f>
        <v>0</v>
      </c>
      <c r="K61" s="3">
        <v>0</v>
      </c>
      <c r="L61" s="3">
        <v>0</v>
      </c>
      <c r="M61" s="3">
        <f>(L61*Assumptions!$C$8)+L61</f>
        <v>0</v>
      </c>
      <c r="N61" s="3">
        <f>(M61*Assumptions!$C$8)+M61</f>
        <v>0</v>
      </c>
      <c r="O61" s="3">
        <f>(N61*Assumptions!$C$8)+N61</f>
        <v>0</v>
      </c>
      <c r="P61" s="3">
        <f>(O61*Assumptions!$C$8)+O61</f>
        <v>0</v>
      </c>
      <c r="Q61" s="3">
        <f>(P61*Assumptions!$C$8)+P61</f>
        <v>0</v>
      </c>
      <c r="R61" s="3">
        <f>(Q61*Assumptions!$C$8)+Q61</f>
        <v>0</v>
      </c>
      <c r="S61" s="3">
        <f>(R61*Assumptions!$C$8)+R61</f>
        <v>0</v>
      </c>
      <c r="T61" s="3">
        <f>(S61*Assumptions!$C$8)+S61</f>
        <v>0</v>
      </c>
      <c r="U61" s="3">
        <f>(T61*Assumptions!$C$8)+T61</f>
        <v>0</v>
      </c>
      <c r="V61" s="3">
        <f>(U61*Assumptions!$C$8)+U61</f>
        <v>0</v>
      </c>
      <c r="W61" s="3">
        <f>(V61*Assumptions!$C$8)+V61</f>
        <v>0</v>
      </c>
      <c r="X61" s="3">
        <f>(W61*Assumptions!$C$8)+W61</f>
        <v>0</v>
      </c>
      <c r="Y61" s="3">
        <f>(X61*Assumptions!$C$8)+X61</f>
        <v>0</v>
      </c>
      <c r="Z61" s="3">
        <f>(Y61*Assumptions!$C$8)+Y61</f>
        <v>0</v>
      </c>
      <c r="AA61" s="3">
        <f>(Z61*Assumptions!$C$8)+Z61</f>
        <v>0</v>
      </c>
      <c r="AB61" s="3">
        <f>(AA61*Assumptions!$C$8)+AA61</f>
        <v>0</v>
      </c>
      <c r="AC61" s="3">
        <f>(AB61*Assumptions!$C$8)+AB61</f>
        <v>0</v>
      </c>
      <c r="AD61" s="3">
        <f>(AC61*Assumptions!$C$8)+AC61</f>
        <v>0</v>
      </c>
      <c r="AE61" s="3">
        <f>(AD61*Assumptions!$C$8)+AD61</f>
        <v>0</v>
      </c>
      <c r="AF61" s="3">
        <f>(AE61*Assumptions!$C$8)+AE61</f>
        <v>0</v>
      </c>
    </row>
    <row r="62" spans="1:32">
      <c r="B62" t="s">
        <v>60</v>
      </c>
      <c r="C62" s="6">
        <f>4000+10000</f>
        <v>14000</v>
      </c>
      <c r="D62" s="6">
        <f>(C62*Assumptions!$C$8)+C62</f>
        <v>14420</v>
      </c>
      <c r="E62" s="6">
        <f>(D62*Assumptions!$C$8)+D62</f>
        <v>14852.6</v>
      </c>
      <c r="F62" s="6">
        <f>(E62*Assumptions!$C$8)+E62</f>
        <v>15298.178</v>
      </c>
      <c r="G62" s="6">
        <f>(F62*Assumptions!$C$8)+F62</f>
        <v>15757.12334</v>
      </c>
      <c r="H62" s="6">
        <f>(G62*Assumptions!$C$8)+G62</f>
        <v>16229.8370402</v>
      </c>
      <c r="I62" s="6">
        <f>(H62*Assumptions!$C$8)+H62</f>
        <v>16716.732151405999</v>
      </c>
      <c r="J62" s="6">
        <f>(I62*Assumptions!$C$8)+I62</f>
        <v>17218.23411594818</v>
      </c>
      <c r="K62" s="6">
        <f>(J62*Assumptions!$C$8)+J62</f>
        <v>17734.781139426625</v>
      </c>
      <c r="L62" s="6">
        <f>(K62*Assumptions!$C$8)+K62</f>
        <v>18266.824573609425</v>
      </c>
      <c r="M62" s="6">
        <f>(L62*Assumptions!$C$8)+L62</f>
        <v>18814.829310817709</v>
      </c>
      <c r="N62" s="6">
        <f>(M62*Assumptions!$C$8)+M62</f>
        <v>19379.274190142241</v>
      </c>
      <c r="O62" s="6">
        <f>(N62*Assumptions!$C$8)+N62</f>
        <v>19960.652415846507</v>
      </c>
      <c r="P62" s="6">
        <f>(O62*Assumptions!$C$8)+O62</f>
        <v>20559.471988321904</v>
      </c>
      <c r="Q62" s="6">
        <f>(P62*Assumptions!$C$8)+P62</f>
        <v>21176.256147971562</v>
      </c>
      <c r="R62" s="6">
        <f>(Q62*Assumptions!$C$8)+Q62</f>
        <v>21811.543832410709</v>
      </c>
      <c r="S62" s="6">
        <f>(R62*Assumptions!$C$8)+R62</f>
        <v>22465.89014738303</v>
      </c>
      <c r="T62" s="6">
        <f>(S62*Assumptions!$C$8)+S62</f>
        <v>23139.86685180452</v>
      </c>
      <c r="U62" s="6">
        <f>(T62*Assumptions!$C$8)+T62</f>
        <v>23834.062857358655</v>
      </c>
      <c r="V62" s="6">
        <f>(U62*Assumptions!$C$8)+U62</f>
        <v>24549.084743079413</v>
      </c>
      <c r="W62" s="6">
        <f>(V62*Assumptions!$C$8)+V62</f>
        <v>25285.557285371797</v>
      </c>
      <c r="X62" s="6">
        <f>(W62*Assumptions!$C$8)+W62</f>
        <v>26044.12400393295</v>
      </c>
      <c r="Y62" s="6">
        <f>(X62*Assumptions!$C$8)+X62</f>
        <v>26825.447724050937</v>
      </c>
      <c r="Z62" s="6">
        <f>(Y62*Assumptions!$C$8)+Y62</f>
        <v>27630.211155772464</v>
      </c>
      <c r="AA62" s="6">
        <f>(Z62*Assumptions!$C$8)+Z62</f>
        <v>28459.117490445638</v>
      </c>
      <c r="AB62" s="6">
        <f>(AA62*Assumptions!$C$8)+AA62</f>
        <v>29312.891015159006</v>
      </c>
      <c r="AC62" s="6">
        <f>(AB62*Assumptions!$C$8)+AB62</f>
        <v>30192.277745613777</v>
      </c>
      <c r="AD62" s="6">
        <f>(AC62*Assumptions!$C$8)+AC62</f>
        <v>31098.046077982191</v>
      </c>
      <c r="AE62" s="6">
        <f>(AD62*Assumptions!$C$8)+AD62</f>
        <v>32030.987460321656</v>
      </c>
      <c r="AF62" s="6">
        <f>(AE62*Assumptions!$C$8)+AE62</f>
        <v>32991.917084131303</v>
      </c>
    </row>
    <row r="63" spans="1:3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32">
      <c r="B64" t="s">
        <v>9</v>
      </c>
      <c r="C64" s="6">
        <f>C34+C37+C42+C45+C53+C54+C57+C58+C59+C60+C61+C62</f>
        <v>517150</v>
      </c>
      <c r="D64" s="6">
        <f t="shared" ref="D64:AF64" si="9">D34+D37+D42+D45+D53+D54+D57+D58+D59+D60+D61+D62</f>
        <v>531764.5</v>
      </c>
      <c r="E64" s="6">
        <f t="shared" si="9"/>
        <v>547413.43499999982</v>
      </c>
      <c r="F64" s="6">
        <f t="shared" si="9"/>
        <v>562917.95805000013</v>
      </c>
      <c r="G64" s="6">
        <f t="shared" si="9"/>
        <v>578887.61679150001</v>
      </c>
      <c r="H64" s="6">
        <f t="shared" si="9"/>
        <v>315293.830409015</v>
      </c>
      <c r="I64" s="6">
        <f t="shared" si="9"/>
        <v>324752.64532128547</v>
      </c>
      <c r="J64" s="6">
        <f t="shared" si="9"/>
        <v>334495.22468092409</v>
      </c>
      <c r="K64" s="6">
        <f t="shared" si="9"/>
        <v>344530.08142135176</v>
      </c>
      <c r="L64" s="6">
        <f t="shared" si="9"/>
        <v>354257.93422492617</v>
      </c>
      <c r="M64" s="6">
        <f t="shared" si="9"/>
        <v>364295.86410177988</v>
      </c>
      <c r="N64" s="6">
        <f t="shared" si="9"/>
        <v>374652.62611943606</v>
      </c>
      <c r="O64" s="6">
        <f t="shared" si="9"/>
        <v>385337.25441478391</v>
      </c>
      <c r="P64" s="6">
        <f t="shared" si="9"/>
        <v>396359.07007363904</v>
      </c>
      <c r="Q64" s="6">
        <f t="shared" si="9"/>
        <v>407727.68926146755</v>
      </c>
      <c r="R64" s="6">
        <f t="shared" si="9"/>
        <v>419453.03161236242</v>
      </c>
      <c r="S64" s="6">
        <f t="shared" si="9"/>
        <v>431545.32888359262</v>
      </c>
      <c r="T64" s="6">
        <f t="shared" si="9"/>
        <v>444015.13388327381</v>
      </c>
      <c r="U64" s="6">
        <f t="shared" si="9"/>
        <v>456873.32967895037</v>
      </c>
      <c r="V64" s="6">
        <f t="shared" si="9"/>
        <v>470131.13909512182</v>
      </c>
      <c r="W64" s="6">
        <f t="shared" si="9"/>
        <v>483800.1345080043</v>
      </c>
      <c r="X64" s="6">
        <f t="shared" si="9"/>
        <v>435589.31436761713</v>
      </c>
      <c r="Y64" s="6">
        <f t="shared" si="9"/>
        <v>448656.9937986458</v>
      </c>
      <c r="Z64" s="6">
        <f t="shared" si="9"/>
        <v>462116.70361260499</v>
      </c>
      <c r="AA64" s="6">
        <f t="shared" si="9"/>
        <v>475980.20472098328</v>
      </c>
      <c r="AB64" s="6">
        <f t="shared" si="9"/>
        <v>490259.61086261267</v>
      </c>
      <c r="AC64" s="6">
        <f t="shared" si="9"/>
        <v>504967.39918849105</v>
      </c>
      <c r="AD64" s="6">
        <f t="shared" si="9"/>
        <v>520116.42116414587</v>
      </c>
      <c r="AE64" s="6">
        <f t="shared" si="9"/>
        <v>535719.91379907005</v>
      </c>
      <c r="AF64" s="6">
        <f t="shared" si="9"/>
        <v>551791.51121304231</v>
      </c>
    </row>
    <row r="65" spans="1:3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5" thickBot="1">
      <c r="A66" t="s">
        <v>10</v>
      </c>
      <c r="C66" s="7">
        <f t="shared" ref="C66:AF66" si="10">C19-C64</f>
        <v>190350</v>
      </c>
      <c r="D66" s="7">
        <f t="shared" si="10"/>
        <v>182523</v>
      </c>
      <c r="E66" s="7">
        <f t="shared" si="10"/>
        <v>173906.25250000018</v>
      </c>
      <c r="F66" s="7">
        <f t="shared" si="10"/>
        <v>165688.02913749986</v>
      </c>
      <c r="G66" s="7">
        <f t="shared" si="10"/>
        <v>157268.58702568745</v>
      </c>
      <c r="H66" s="7">
        <f t="shared" si="10"/>
        <v>28284.750385621854</v>
      </c>
      <c r="I66" s="7">
        <f t="shared" si="10"/>
        <v>55695.056766333</v>
      </c>
      <c r="J66" s="7">
        <f t="shared" si="10"/>
        <v>59323.610618122562</v>
      </c>
      <c r="K66" s="7">
        <f t="shared" si="10"/>
        <v>63147.214057711768</v>
      </c>
      <c r="L66" s="7">
        <f t="shared" si="10"/>
        <v>67947.135540972929</v>
      </c>
      <c r="M66" s="7">
        <f t="shared" si="10"/>
        <v>73145.571227489214</v>
      </c>
      <c r="N66" s="7">
        <f t="shared" si="10"/>
        <v>78768.618349006749</v>
      </c>
      <c r="O66" s="7">
        <f t="shared" si="10"/>
        <v>84005.120698908519</v>
      </c>
      <c r="P66" s="7">
        <f t="shared" si="10"/>
        <v>90471.757809992705</v>
      </c>
      <c r="Q66" s="7">
        <f t="shared" si="10"/>
        <v>96467.713862331642</v>
      </c>
      <c r="R66" s="7">
        <f t="shared" si="10"/>
        <v>102793.71701757226</v>
      </c>
      <c r="S66" s="7">
        <f t="shared" si="10"/>
        <v>109500.443892507</v>
      </c>
      <c r="T66" s="7">
        <f t="shared" si="10"/>
        <v>116598.11092872743</v>
      </c>
      <c r="U66" s="7">
        <f t="shared" si="10"/>
        <v>124092.16497377888</v>
      </c>
      <c r="V66" s="7">
        <f t="shared" si="10"/>
        <v>131984.37765602831</v>
      </c>
      <c r="W66" s="7">
        <f t="shared" si="10"/>
        <v>138487.41530823451</v>
      </c>
      <c r="X66" s="7">
        <f t="shared" si="10"/>
        <v>207321.59266728745</v>
      </c>
      <c r="Y66" s="7">
        <f t="shared" si="10"/>
        <v>215400.06463184324</v>
      </c>
      <c r="Z66" s="7">
        <f t="shared" si="10"/>
        <v>223578.48156681785</v>
      </c>
      <c r="AA66" s="7">
        <f t="shared" si="10"/>
        <v>231794.65457146906</v>
      </c>
      <c r="AB66" s="7">
        <f t="shared" si="10"/>
        <v>237196.91580101958</v>
      </c>
      <c r="AC66" s="7">
        <f t="shared" si="10"/>
        <v>241953.78764155821</v>
      </c>
      <c r="AD66" s="7">
        <f t="shared" si="10"/>
        <v>246147.12062327255</v>
      </c>
      <c r="AE66" s="7">
        <f t="shared" si="10"/>
        <v>249651.72517917142</v>
      </c>
      <c r="AF66" s="7">
        <f t="shared" si="10"/>
        <v>248581.91321543709</v>
      </c>
    </row>
    <row r="67" spans="1:32" ht="15" thickTop="1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32">
      <c r="C68" s="14"/>
      <c r="D68" s="3"/>
      <c r="E68" s="3"/>
      <c r="F68" s="3"/>
      <c r="G68" s="3"/>
      <c r="H68" s="3"/>
      <c r="I68" s="3"/>
      <c r="J68" s="3"/>
      <c r="K68" s="3"/>
      <c r="L68" s="3"/>
      <c r="M68" s="14"/>
      <c r="N68" s="3"/>
      <c r="O68" s="3"/>
    </row>
    <row r="69" spans="1:3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3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3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3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3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3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3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3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3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3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3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3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3: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3:1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3:1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3:1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3:1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3:1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3:1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</sheetData>
  <pageMargins left="0.7" right="0.7" top="0.75" bottom="0.75" header="0.3" footer="0.3"/>
  <pageSetup scale="70" fitToWidth="2" orientation="landscape"/>
  <ignoredErrors>
    <ignoredError sqref="C4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2"/>
  <sheetViews>
    <sheetView zoomScale="110" zoomScaleNormal="110" zoomScalePageLayoutView="110" workbookViewId="0">
      <selection activeCell="B2" sqref="B2"/>
    </sheetView>
  </sheetViews>
  <sheetFormatPr baseColWidth="10" defaultColWidth="8.83203125" defaultRowHeight="14" x14ac:dyDescent="0"/>
  <cols>
    <col min="1" max="1" width="3.6640625" customWidth="1"/>
    <col min="2" max="2" width="33" customWidth="1"/>
    <col min="3" max="3" width="10.5" bestFit="1" customWidth="1"/>
    <col min="4" max="7" width="10.5" hidden="1" customWidth="1"/>
    <col min="8" max="8" width="9.5" bestFit="1" customWidth="1"/>
    <col min="9" max="12" width="9.5" hidden="1" customWidth="1"/>
    <col min="13" max="13" width="9.5" bestFit="1" customWidth="1"/>
    <col min="14" max="15" width="9.5" hidden="1" customWidth="1"/>
    <col min="16" max="17" width="10.5" hidden="1" customWidth="1"/>
    <col min="18" max="18" width="10.5" bestFit="1" customWidth="1"/>
    <col min="19" max="22" width="10.5" hidden="1" customWidth="1"/>
    <col min="23" max="23" width="10.5" bestFit="1" customWidth="1"/>
    <col min="24" max="27" width="10.5" hidden="1" customWidth="1"/>
    <col min="28" max="28" width="10.5" bestFit="1" customWidth="1"/>
    <col min="29" max="32" width="10.5" hidden="1" customWidth="1"/>
    <col min="251" max="251" width="3.6640625" customWidth="1"/>
    <col min="252" max="252" width="30.5" bestFit="1" customWidth="1"/>
    <col min="253" max="253" width="11.33203125" bestFit="1" customWidth="1"/>
    <col min="254" max="254" width="10.33203125" bestFit="1" customWidth="1"/>
    <col min="255" max="255" width="11.33203125" bestFit="1" customWidth="1"/>
    <col min="256" max="261" width="10.33203125" bestFit="1" customWidth="1"/>
    <col min="262" max="262" width="10.83203125" bestFit="1" customWidth="1"/>
    <col min="263" max="263" width="10.33203125" bestFit="1" customWidth="1"/>
    <col min="264" max="264" width="10.83203125" bestFit="1" customWidth="1"/>
    <col min="265" max="265" width="10.33203125" bestFit="1" customWidth="1"/>
    <col min="507" max="507" width="3.6640625" customWidth="1"/>
    <col min="508" max="508" width="30.5" bestFit="1" customWidth="1"/>
    <col min="509" max="509" width="11.33203125" bestFit="1" customWidth="1"/>
    <col min="510" max="510" width="10.33203125" bestFit="1" customWidth="1"/>
    <col min="511" max="511" width="11.33203125" bestFit="1" customWidth="1"/>
    <col min="512" max="517" width="10.33203125" bestFit="1" customWidth="1"/>
    <col min="518" max="518" width="10.83203125" bestFit="1" customWidth="1"/>
    <col min="519" max="519" width="10.33203125" bestFit="1" customWidth="1"/>
    <col min="520" max="520" width="10.83203125" bestFit="1" customWidth="1"/>
    <col min="521" max="521" width="10.33203125" bestFit="1" customWidth="1"/>
    <col min="763" max="763" width="3.6640625" customWidth="1"/>
    <col min="764" max="764" width="30.5" bestFit="1" customWidth="1"/>
    <col min="765" max="765" width="11.33203125" bestFit="1" customWidth="1"/>
    <col min="766" max="766" width="10.33203125" bestFit="1" customWidth="1"/>
    <col min="767" max="767" width="11.33203125" bestFit="1" customWidth="1"/>
    <col min="768" max="773" width="10.33203125" bestFit="1" customWidth="1"/>
    <col min="774" max="774" width="10.83203125" bestFit="1" customWidth="1"/>
    <col min="775" max="775" width="10.33203125" bestFit="1" customWidth="1"/>
    <col min="776" max="776" width="10.83203125" bestFit="1" customWidth="1"/>
    <col min="777" max="777" width="10.33203125" bestFit="1" customWidth="1"/>
    <col min="1019" max="1019" width="3.6640625" customWidth="1"/>
    <col min="1020" max="1020" width="30.5" bestFit="1" customWidth="1"/>
    <col min="1021" max="1021" width="11.33203125" bestFit="1" customWidth="1"/>
    <col min="1022" max="1022" width="10.33203125" bestFit="1" customWidth="1"/>
    <col min="1023" max="1023" width="11.33203125" bestFit="1" customWidth="1"/>
    <col min="1024" max="1029" width="10.33203125" bestFit="1" customWidth="1"/>
    <col min="1030" max="1030" width="10.83203125" bestFit="1" customWidth="1"/>
    <col min="1031" max="1031" width="10.33203125" bestFit="1" customWidth="1"/>
    <col min="1032" max="1032" width="10.83203125" bestFit="1" customWidth="1"/>
    <col min="1033" max="1033" width="10.33203125" bestFit="1" customWidth="1"/>
    <col min="1275" max="1275" width="3.6640625" customWidth="1"/>
    <col min="1276" max="1276" width="30.5" bestFit="1" customWidth="1"/>
    <col min="1277" max="1277" width="11.33203125" bestFit="1" customWidth="1"/>
    <col min="1278" max="1278" width="10.33203125" bestFit="1" customWidth="1"/>
    <col min="1279" max="1279" width="11.33203125" bestFit="1" customWidth="1"/>
    <col min="1280" max="1285" width="10.33203125" bestFit="1" customWidth="1"/>
    <col min="1286" max="1286" width="10.83203125" bestFit="1" customWidth="1"/>
    <col min="1287" max="1287" width="10.33203125" bestFit="1" customWidth="1"/>
    <col min="1288" max="1288" width="10.83203125" bestFit="1" customWidth="1"/>
    <col min="1289" max="1289" width="10.33203125" bestFit="1" customWidth="1"/>
    <col min="1531" max="1531" width="3.6640625" customWidth="1"/>
    <col min="1532" max="1532" width="30.5" bestFit="1" customWidth="1"/>
    <col min="1533" max="1533" width="11.33203125" bestFit="1" customWidth="1"/>
    <col min="1534" max="1534" width="10.33203125" bestFit="1" customWidth="1"/>
    <col min="1535" max="1535" width="11.33203125" bestFit="1" customWidth="1"/>
    <col min="1536" max="1541" width="10.33203125" bestFit="1" customWidth="1"/>
    <col min="1542" max="1542" width="10.83203125" bestFit="1" customWidth="1"/>
    <col min="1543" max="1543" width="10.33203125" bestFit="1" customWidth="1"/>
    <col min="1544" max="1544" width="10.83203125" bestFit="1" customWidth="1"/>
    <col min="1545" max="1545" width="10.33203125" bestFit="1" customWidth="1"/>
    <col min="1787" max="1787" width="3.6640625" customWidth="1"/>
    <col min="1788" max="1788" width="30.5" bestFit="1" customWidth="1"/>
    <col min="1789" max="1789" width="11.33203125" bestFit="1" customWidth="1"/>
    <col min="1790" max="1790" width="10.33203125" bestFit="1" customWidth="1"/>
    <col min="1791" max="1791" width="11.33203125" bestFit="1" customWidth="1"/>
    <col min="1792" max="1797" width="10.33203125" bestFit="1" customWidth="1"/>
    <col min="1798" max="1798" width="10.83203125" bestFit="1" customWidth="1"/>
    <col min="1799" max="1799" width="10.33203125" bestFit="1" customWidth="1"/>
    <col min="1800" max="1800" width="10.83203125" bestFit="1" customWidth="1"/>
    <col min="1801" max="1801" width="10.33203125" bestFit="1" customWidth="1"/>
    <col min="2043" max="2043" width="3.6640625" customWidth="1"/>
    <col min="2044" max="2044" width="30.5" bestFit="1" customWidth="1"/>
    <col min="2045" max="2045" width="11.33203125" bestFit="1" customWidth="1"/>
    <col min="2046" max="2046" width="10.33203125" bestFit="1" customWidth="1"/>
    <col min="2047" max="2047" width="11.33203125" bestFit="1" customWidth="1"/>
    <col min="2048" max="2053" width="10.33203125" bestFit="1" customWidth="1"/>
    <col min="2054" max="2054" width="10.83203125" bestFit="1" customWidth="1"/>
    <col min="2055" max="2055" width="10.33203125" bestFit="1" customWidth="1"/>
    <col min="2056" max="2056" width="10.83203125" bestFit="1" customWidth="1"/>
    <col min="2057" max="2057" width="10.33203125" bestFit="1" customWidth="1"/>
    <col min="2299" max="2299" width="3.6640625" customWidth="1"/>
    <col min="2300" max="2300" width="30.5" bestFit="1" customWidth="1"/>
    <col min="2301" max="2301" width="11.33203125" bestFit="1" customWidth="1"/>
    <col min="2302" max="2302" width="10.33203125" bestFit="1" customWidth="1"/>
    <col min="2303" max="2303" width="11.33203125" bestFit="1" customWidth="1"/>
    <col min="2304" max="2309" width="10.33203125" bestFit="1" customWidth="1"/>
    <col min="2310" max="2310" width="10.83203125" bestFit="1" customWidth="1"/>
    <col min="2311" max="2311" width="10.33203125" bestFit="1" customWidth="1"/>
    <col min="2312" max="2312" width="10.83203125" bestFit="1" customWidth="1"/>
    <col min="2313" max="2313" width="10.33203125" bestFit="1" customWidth="1"/>
    <col min="2555" max="2555" width="3.6640625" customWidth="1"/>
    <col min="2556" max="2556" width="30.5" bestFit="1" customWidth="1"/>
    <col min="2557" max="2557" width="11.33203125" bestFit="1" customWidth="1"/>
    <col min="2558" max="2558" width="10.33203125" bestFit="1" customWidth="1"/>
    <col min="2559" max="2559" width="11.33203125" bestFit="1" customWidth="1"/>
    <col min="2560" max="2565" width="10.33203125" bestFit="1" customWidth="1"/>
    <col min="2566" max="2566" width="10.83203125" bestFit="1" customWidth="1"/>
    <col min="2567" max="2567" width="10.33203125" bestFit="1" customWidth="1"/>
    <col min="2568" max="2568" width="10.83203125" bestFit="1" customWidth="1"/>
    <col min="2569" max="2569" width="10.33203125" bestFit="1" customWidth="1"/>
    <col min="2811" max="2811" width="3.6640625" customWidth="1"/>
    <col min="2812" max="2812" width="30.5" bestFit="1" customWidth="1"/>
    <col min="2813" max="2813" width="11.33203125" bestFit="1" customWidth="1"/>
    <col min="2814" max="2814" width="10.33203125" bestFit="1" customWidth="1"/>
    <col min="2815" max="2815" width="11.33203125" bestFit="1" customWidth="1"/>
    <col min="2816" max="2821" width="10.33203125" bestFit="1" customWidth="1"/>
    <col min="2822" max="2822" width="10.83203125" bestFit="1" customWidth="1"/>
    <col min="2823" max="2823" width="10.33203125" bestFit="1" customWidth="1"/>
    <col min="2824" max="2824" width="10.83203125" bestFit="1" customWidth="1"/>
    <col min="2825" max="2825" width="10.33203125" bestFit="1" customWidth="1"/>
    <col min="3067" max="3067" width="3.6640625" customWidth="1"/>
    <col min="3068" max="3068" width="30.5" bestFit="1" customWidth="1"/>
    <col min="3069" max="3069" width="11.33203125" bestFit="1" customWidth="1"/>
    <col min="3070" max="3070" width="10.33203125" bestFit="1" customWidth="1"/>
    <col min="3071" max="3071" width="11.33203125" bestFit="1" customWidth="1"/>
    <col min="3072" max="3077" width="10.33203125" bestFit="1" customWidth="1"/>
    <col min="3078" max="3078" width="10.83203125" bestFit="1" customWidth="1"/>
    <col min="3079" max="3079" width="10.33203125" bestFit="1" customWidth="1"/>
    <col min="3080" max="3080" width="10.83203125" bestFit="1" customWidth="1"/>
    <col min="3081" max="3081" width="10.33203125" bestFit="1" customWidth="1"/>
    <col min="3323" max="3323" width="3.6640625" customWidth="1"/>
    <col min="3324" max="3324" width="30.5" bestFit="1" customWidth="1"/>
    <col min="3325" max="3325" width="11.33203125" bestFit="1" customWidth="1"/>
    <col min="3326" max="3326" width="10.33203125" bestFit="1" customWidth="1"/>
    <col min="3327" max="3327" width="11.33203125" bestFit="1" customWidth="1"/>
    <col min="3328" max="3333" width="10.33203125" bestFit="1" customWidth="1"/>
    <col min="3334" max="3334" width="10.83203125" bestFit="1" customWidth="1"/>
    <col min="3335" max="3335" width="10.33203125" bestFit="1" customWidth="1"/>
    <col min="3336" max="3336" width="10.83203125" bestFit="1" customWidth="1"/>
    <col min="3337" max="3337" width="10.33203125" bestFit="1" customWidth="1"/>
    <col min="3579" max="3579" width="3.6640625" customWidth="1"/>
    <col min="3580" max="3580" width="30.5" bestFit="1" customWidth="1"/>
    <col min="3581" max="3581" width="11.33203125" bestFit="1" customWidth="1"/>
    <col min="3582" max="3582" width="10.33203125" bestFit="1" customWidth="1"/>
    <col min="3583" max="3583" width="11.33203125" bestFit="1" customWidth="1"/>
    <col min="3584" max="3589" width="10.33203125" bestFit="1" customWidth="1"/>
    <col min="3590" max="3590" width="10.83203125" bestFit="1" customWidth="1"/>
    <col min="3591" max="3591" width="10.33203125" bestFit="1" customWidth="1"/>
    <col min="3592" max="3592" width="10.83203125" bestFit="1" customWidth="1"/>
    <col min="3593" max="3593" width="10.33203125" bestFit="1" customWidth="1"/>
    <col min="3835" max="3835" width="3.6640625" customWidth="1"/>
    <col min="3836" max="3836" width="30.5" bestFit="1" customWidth="1"/>
    <col min="3837" max="3837" width="11.33203125" bestFit="1" customWidth="1"/>
    <col min="3838" max="3838" width="10.33203125" bestFit="1" customWidth="1"/>
    <col min="3839" max="3839" width="11.33203125" bestFit="1" customWidth="1"/>
    <col min="3840" max="3845" width="10.33203125" bestFit="1" customWidth="1"/>
    <col min="3846" max="3846" width="10.83203125" bestFit="1" customWidth="1"/>
    <col min="3847" max="3847" width="10.33203125" bestFit="1" customWidth="1"/>
    <col min="3848" max="3848" width="10.83203125" bestFit="1" customWidth="1"/>
    <col min="3849" max="3849" width="10.33203125" bestFit="1" customWidth="1"/>
    <col min="4091" max="4091" width="3.6640625" customWidth="1"/>
    <col min="4092" max="4092" width="30.5" bestFit="1" customWidth="1"/>
    <col min="4093" max="4093" width="11.33203125" bestFit="1" customWidth="1"/>
    <col min="4094" max="4094" width="10.33203125" bestFit="1" customWidth="1"/>
    <col min="4095" max="4095" width="11.33203125" bestFit="1" customWidth="1"/>
    <col min="4096" max="4101" width="10.33203125" bestFit="1" customWidth="1"/>
    <col min="4102" max="4102" width="10.83203125" bestFit="1" customWidth="1"/>
    <col min="4103" max="4103" width="10.33203125" bestFit="1" customWidth="1"/>
    <col min="4104" max="4104" width="10.83203125" bestFit="1" customWidth="1"/>
    <col min="4105" max="4105" width="10.33203125" bestFit="1" customWidth="1"/>
    <col min="4347" max="4347" width="3.6640625" customWidth="1"/>
    <col min="4348" max="4348" width="30.5" bestFit="1" customWidth="1"/>
    <col min="4349" max="4349" width="11.33203125" bestFit="1" customWidth="1"/>
    <col min="4350" max="4350" width="10.33203125" bestFit="1" customWidth="1"/>
    <col min="4351" max="4351" width="11.33203125" bestFit="1" customWidth="1"/>
    <col min="4352" max="4357" width="10.33203125" bestFit="1" customWidth="1"/>
    <col min="4358" max="4358" width="10.83203125" bestFit="1" customWidth="1"/>
    <col min="4359" max="4359" width="10.33203125" bestFit="1" customWidth="1"/>
    <col min="4360" max="4360" width="10.83203125" bestFit="1" customWidth="1"/>
    <col min="4361" max="4361" width="10.33203125" bestFit="1" customWidth="1"/>
    <col min="4603" max="4603" width="3.6640625" customWidth="1"/>
    <col min="4604" max="4604" width="30.5" bestFit="1" customWidth="1"/>
    <col min="4605" max="4605" width="11.33203125" bestFit="1" customWidth="1"/>
    <col min="4606" max="4606" width="10.33203125" bestFit="1" customWidth="1"/>
    <col min="4607" max="4607" width="11.33203125" bestFit="1" customWidth="1"/>
    <col min="4608" max="4613" width="10.33203125" bestFit="1" customWidth="1"/>
    <col min="4614" max="4614" width="10.83203125" bestFit="1" customWidth="1"/>
    <col min="4615" max="4615" width="10.33203125" bestFit="1" customWidth="1"/>
    <col min="4616" max="4616" width="10.83203125" bestFit="1" customWidth="1"/>
    <col min="4617" max="4617" width="10.33203125" bestFit="1" customWidth="1"/>
    <col min="4859" max="4859" width="3.6640625" customWidth="1"/>
    <col min="4860" max="4860" width="30.5" bestFit="1" customWidth="1"/>
    <col min="4861" max="4861" width="11.33203125" bestFit="1" customWidth="1"/>
    <col min="4862" max="4862" width="10.33203125" bestFit="1" customWidth="1"/>
    <col min="4863" max="4863" width="11.33203125" bestFit="1" customWidth="1"/>
    <col min="4864" max="4869" width="10.33203125" bestFit="1" customWidth="1"/>
    <col min="4870" max="4870" width="10.83203125" bestFit="1" customWidth="1"/>
    <col min="4871" max="4871" width="10.33203125" bestFit="1" customWidth="1"/>
    <col min="4872" max="4872" width="10.83203125" bestFit="1" customWidth="1"/>
    <col min="4873" max="4873" width="10.33203125" bestFit="1" customWidth="1"/>
    <col min="5115" max="5115" width="3.6640625" customWidth="1"/>
    <col min="5116" max="5116" width="30.5" bestFit="1" customWidth="1"/>
    <col min="5117" max="5117" width="11.33203125" bestFit="1" customWidth="1"/>
    <col min="5118" max="5118" width="10.33203125" bestFit="1" customWidth="1"/>
    <col min="5119" max="5119" width="11.33203125" bestFit="1" customWidth="1"/>
    <col min="5120" max="5125" width="10.33203125" bestFit="1" customWidth="1"/>
    <col min="5126" max="5126" width="10.83203125" bestFit="1" customWidth="1"/>
    <col min="5127" max="5127" width="10.33203125" bestFit="1" customWidth="1"/>
    <col min="5128" max="5128" width="10.83203125" bestFit="1" customWidth="1"/>
    <col min="5129" max="5129" width="10.33203125" bestFit="1" customWidth="1"/>
    <col min="5371" max="5371" width="3.6640625" customWidth="1"/>
    <col min="5372" max="5372" width="30.5" bestFit="1" customWidth="1"/>
    <col min="5373" max="5373" width="11.33203125" bestFit="1" customWidth="1"/>
    <col min="5374" max="5374" width="10.33203125" bestFit="1" customWidth="1"/>
    <col min="5375" max="5375" width="11.33203125" bestFit="1" customWidth="1"/>
    <col min="5376" max="5381" width="10.33203125" bestFit="1" customWidth="1"/>
    <col min="5382" max="5382" width="10.83203125" bestFit="1" customWidth="1"/>
    <col min="5383" max="5383" width="10.33203125" bestFit="1" customWidth="1"/>
    <col min="5384" max="5384" width="10.83203125" bestFit="1" customWidth="1"/>
    <col min="5385" max="5385" width="10.33203125" bestFit="1" customWidth="1"/>
    <col min="5627" max="5627" width="3.6640625" customWidth="1"/>
    <col min="5628" max="5628" width="30.5" bestFit="1" customWidth="1"/>
    <col min="5629" max="5629" width="11.33203125" bestFit="1" customWidth="1"/>
    <col min="5630" max="5630" width="10.33203125" bestFit="1" customWidth="1"/>
    <col min="5631" max="5631" width="11.33203125" bestFit="1" customWidth="1"/>
    <col min="5632" max="5637" width="10.33203125" bestFit="1" customWidth="1"/>
    <col min="5638" max="5638" width="10.83203125" bestFit="1" customWidth="1"/>
    <col min="5639" max="5639" width="10.33203125" bestFit="1" customWidth="1"/>
    <col min="5640" max="5640" width="10.83203125" bestFit="1" customWidth="1"/>
    <col min="5641" max="5641" width="10.33203125" bestFit="1" customWidth="1"/>
    <col min="5883" max="5883" width="3.6640625" customWidth="1"/>
    <col min="5884" max="5884" width="30.5" bestFit="1" customWidth="1"/>
    <col min="5885" max="5885" width="11.33203125" bestFit="1" customWidth="1"/>
    <col min="5886" max="5886" width="10.33203125" bestFit="1" customWidth="1"/>
    <col min="5887" max="5887" width="11.33203125" bestFit="1" customWidth="1"/>
    <col min="5888" max="5893" width="10.33203125" bestFit="1" customWidth="1"/>
    <col min="5894" max="5894" width="10.83203125" bestFit="1" customWidth="1"/>
    <col min="5895" max="5895" width="10.33203125" bestFit="1" customWidth="1"/>
    <col min="5896" max="5896" width="10.83203125" bestFit="1" customWidth="1"/>
    <col min="5897" max="5897" width="10.33203125" bestFit="1" customWidth="1"/>
    <col min="6139" max="6139" width="3.6640625" customWidth="1"/>
    <col min="6140" max="6140" width="30.5" bestFit="1" customWidth="1"/>
    <col min="6141" max="6141" width="11.33203125" bestFit="1" customWidth="1"/>
    <col min="6142" max="6142" width="10.33203125" bestFit="1" customWidth="1"/>
    <col min="6143" max="6143" width="11.33203125" bestFit="1" customWidth="1"/>
    <col min="6144" max="6149" width="10.33203125" bestFit="1" customWidth="1"/>
    <col min="6150" max="6150" width="10.83203125" bestFit="1" customWidth="1"/>
    <col min="6151" max="6151" width="10.33203125" bestFit="1" customWidth="1"/>
    <col min="6152" max="6152" width="10.83203125" bestFit="1" customWidth="1"/>
    <col min="6153" max="6153" width="10.33203125" bestFit="1" customWidth="1"/>
    <col min="6395" max="6395" width="3.6640625" customWidth="1"/>
    <col min="6396" max="6396" width="30.5" bestFit="1" customWidth="1"/>
    <col min="6397" max="6397" width="11.33203125" bestFit="1" customWidth="1"/>
    <col min="6398" max="6398" width="10.33203125" bestFit="1" customWidth="1"/>
    <col min="6399" max="6399" width="11.33203125" bestFit="1" customWidth="1"/>
    <col min="6400" max="6405" width="10.33203125" bestFit="1" customWidth="1"/>
    <col min="6406" max="6406" width="10.83203125" bestFit="1" customWidth="1"/>
    <col min="6407" max="6407" width="10.33203125" bestFit="1" customWidth="1"/>
    <col min="6408" max="6408" width="10.83203125" bestFit="1" customWidth="1"/>
    <col min="6409" max="6409" width="10.33203125" bestFit="1" customWidth="1"/>
    <col min="6651" max="6651" width="3.6640625" customWidth="1"/>
    <col min="6652" max="6652" width="30.5" bestFit="1" customWidth="1"/>
    <col min="6653" max="6653" width="11.33203125" bestFit="1" customWidth="1"/>
    <col min="6654" max="6654" width="10.33203125" bestFit="1" customWidth="1"/>
    <col min="6655" max="6655" width="11.33203125" bestFit="1" customWidth="1"/>
    <col min="6656" max="6661" width="10.33203125" bestFit="1" customWidth="1"/>
    <col min="6662" max="6662" width="10.83203125" bestFit="1" customWidth="1"/>
    <col min="6663" max="6663" width="10.33203125" bestFit="1" customWidth="1"/>
    <col min="6664" max="6664" width="10.83203125" bestFit="1" customWidth="1"/>
    <col min="6665" max="6665" width="10.33203125" bestFit="1" customWidth="1"/>
    <col min="6907" max="6907" width="3.6640625" customWidth="1"/>
    <col min="6908" max="6908" width="30.5" bestFit="1" customWidth="1"/>
    <col min="6909" max="6909" width="11.33203125" bestFit="1" customWidth="1"/>
    <col min="6910" max="6910" width="10.33203125" bestFit="1" customWidth="1"/>
    <col min="6911" max="6911" width="11.33203125" bestFit="1" customWidth="1"/>
    <col min="6912" max="6917" width="10.33203125" bestFit="1" customWidth="1"/>
    <col min="6918" max="6918" width="10.83203125" bestFit="1" customWidth="1"/>
    <col min="6919" max="6919" width="10.33203125" bestFit="1" customWidth="1"/>
    <col min="6920" max="6920" width="10.83203125" bestFit="1" customWidth="1"/>
    <col min="6921" max="6921" width="10.33203125" bestFit="1" customWidth="1"/>
    <col min="7163" max="7163" width="3.6640625" customWidth="1"/>
    <col min="7164" max="7164" width="30.5" bestFit="1" customWidth="1"/>
    <col min="7165" max="7165" width="11.33203125" bestFit="1" customWidth="1"/>
    <col min="7166" max="7166" width="10.33203125" bestFit="1" customWidth="1"/>
    <col min="7167" max="7167" width="11.33203125" bestFit="1" customWidth="1"/>
    <col min="7168" max="7173" width="10.33203125" bestFit="1" customWidth="1"/>
    <col min="7174" max="7174" width="10.83203125" bestFit="1" customWidth="1"/>
    <col min="7175" max="7175" width="10.33203125" bestFit="1" customWidth="1"/>
    <col min="7176" max="7176" width="10.83203125" bestFit="1" customWidth="1"/>
    <col min="7177" max="7177" width="10.33203125" bestFit="1" customWidth="1"/>
    <col min="7419" max="7419" width="3.6640625" customWidth="1"/>
    <col min="7420" max="7420" width="30.5" bestFit="1" customWidth="1"/>
    <col min="7421" max="7421" width="11.33203125" bestFit="1" customWidth="1"/>
    <col min="7422" max="7422" width="10.33203125" bestFit="1" customWidth="1"/>
    <col min="7423" max="7423" width="11.33203125" bestFit="1" customWidth="1"/>
    <col min="7424" max="7429" width="10.33203125" bestFit="1" customWidth="1"/>
    <col min="7430" max="7430" width="10.83203125" bestFit="1" customWidth="1"/>
    <col min="7431" max="7431" width="10.33203125" bestFit="1" customWidth="1"/>
    <col min="7432" max="7432" width="10.83203125" bestFit="1" customWidth="1"/>
    <col min="7433" max="7433" width="10.33203125" bestFit="1" customWidth="1"/>
    <col min="7675" max="7675" width="3.6640625" customWidth="1"/>
    <col min="7676" max="7676" width="30.5" bestFit="1" customWidth="1"/>
    <col min="7677" max="7677" width="11.33203125" bestFit="1" customWidth="1"/>
    <col min="7678" max="7678" width="10.33203125" bestFit="1" customWidth="1"/>
    <col min="7679" max="7679" width="11.33203125" bestFit="1" customWidth="1"/>
    <col min="7680" max="7685" width="10.33203125" bestFit="1" customWidth="1"/>
    <col min="7686" max="7686" width="10.83203125" bestFit="1" customWidth="1"/>
    <col min="7687" max="7687" width="10.33203125" bestFit="1" customWidth="1"/>
    <col min="7688" max="7688" width="10.83203125" bestFit="1" customWidth="1"/>
    <col min="7689" max="7689" width="10.33203125" bestFit="1" customWidth="1"/>
    <col min="7931" max="7931" width="3.6640625" customWidth="1"/>
    <col min="7932" max="7932" width="30.5" bestFit="1" customWidth="1"/>
    <col min="7933" max="7933" width="11.33203125" bestFit="1" customWidth="1"/>
    <col min="7934" max="7934" width="10.33203125" bestFit="1" customWidth="1"/>
    <col min="7935" max="7935" width="11.33203125" bestFit="1" customWidth="1"/>
    <col min="7936" max="7941" width="10.33203125" bestFit="1" customWidth="1"/>
    <col min="7942" max="7942" width="10.83203125" bestFit="1" customWidth="1"/>
    <col min="7943" max="7943" width="10.33203125" bestFit="1" customWidth="1"/>
    <col min="7944" max="7944" width="10.83203125" bestFit="1" customWidth="1"/>
    <col min="7945" max="7945" width="10.33203125" bestFit="1" customWidth="1"/>
    <col min="8187" max="8187" width="3.6640625" customWidth="1"/>
    <col min="8188" max="8188" width="30.5" bestFit="1" customWidth="1"/>
    <col min="8189" max="8189" width="11.33203125" bestFit="1" customWidth="1"/>
    <col min="8190" max="8190" width="10.33203125" bestFit="1" customWidth="1"/>
    <col min="8191" max="8191" width="11.33203125" bestFit="1" customWidth="1"/>
    <col min="8192" max="8197" width="10.33203125" bestFit="1" customWidth="1"/>
    <col min="8198" max="8198" width="10.83203125" bestFit="1" customWidth="1"/>
    <col min="8199" max="8199" width="10.33203125" bestFit="1" customWidth="1"/>
    <col min="8200" max="8200" width="10.83203125" bestFit="1" customWidth="1"/>
    <col min="8201" max="8201" width="10.33203125" bestFit="1" customWidth="1"/>
    <col min="8443" max="8443" width="3.6640625" customWidth="1"/>
    <col min="8444" max="8444" width="30.5" bestFit="1" customWidth="1"/>
    <col min="8445" max="8445" width="11.33203125" bestFit="1" customWidth="1"/>
    <col min="8446" max="8446" width="10.33203125" bestFit="1" customWidth="1"/>
    <col min="8447" max="8447" width="11.33203125" bestFit="1" customWidth="1"/>
    <col min="8448" max="8453" width="10.33203125" bestFit="1" customWidth="1"/>
    <col min="8454" max="8454" width="10.83203125" bestFit="1" customWidth="1"/>
    <col min="8455" max="8455" width="10.33203125" bestFit="1" customWidth="1"/>
    <col min="8456" max="8456" width="10.83203125" bestFit="1" customWidth="1"/>
    <col min="8457" max="8457" width="10.33203125" bestFit="1" customWidth="1"/>
    <col min="8699" max="8699" width="3.6640625" customWidth="1"/>
    <col min="8700" max="8700" width="30.5" bestFit="1" customWidth="1"/>
    <col min="8701" max="8701" width="11.33203125" bestFit="1" customWidth="1"/>
    <col min="8702" max="8702" width="10.33203125" bestFit="1" customWidth="1"/>
    <col min="8703" max="8703" width="11.33203125" bestFit="1" customWidth="1"/>
    <col min="8704" max="8709" width="10.33203125" bestFit="1" customWidth="1"/>
    <col min="8710" max="8710" width="10.83203125" bestFit="1" customWidth="1"/>
    <col min="8711" max="8711" width="10.33203125" bestFit="1" customWidth="1"/>
    <col min="8712" max="8712" width="10.83203125" bestFit="1" customWidth="1"/>
    <col min="8713" max="8713" width="10.33203125" bestFit="1" customWidth="1"/>
    <col min="8955" max="8955" width="3.6640625" customWidth="1"/>
    <col min="8956" max="8956" width="30.5" bestFit="1" customWidth="1"/>
    <col min="8957" max="8957" width="11.33203125" bestFit="1" customWidth="1"/>
    <col min="8958" max="8958" width="10.33203125" bestFit="1" customWidth="1"/>
    <col min="8959" max="8959" width="11.33203125" bestFit="1" customWidth="1"/>
    <col min="8960" max="8965" width="10.33203125" bestFit="1" customWidth="1"/>
    <col min="8966" max="8966" width="10.83203125" bestFit="1" customWidth="1"/>
    <col min="8967" max="8967" width="10.33203125" bestFit="1" customWidth="1"/>
    <col min="8968" max="8968" width="10.83203125" bestFit="1" customWidth="1"/>
    <col min="8969" max="8969" width="10.33203125" bestFit="1" customWidth="1"/>
    <col min="9211" max="9211" width="3.6640625" customWidth="1"/>
    <col min="9212" max="9212" width="30.5" bestFit="1" customWidth="1"/>
    <col min="9213" max="9213" width="11.33203125" bestFit="1" customWidth="1"/>
    <col min="9214" max="9214" width="10.33203125" bestFit="1" customWidth="1"/>
    <col min="9215" max="9215" width="11.33203125" bestFit="1" customWidth="1"/>
    <col min="9216" max="9221" width="10.33203125" bestFit="1" customWidth="1"/>
    <col min="9222" max="9222" width="10.83203125" bestFit="1" customWidth="1"/>
    <col min="9223" max="9223" width="10.33203125" bestFit="1" customWidth="1"/>
    <col min="9224" max="9224" width="10.83203125" bestFit="1" customWidth="1"/>
    <col min="9225" max="9225" width="10.33203125" bestFit="1" customWidth="1"/>
    <col min="9467" max="9467" width="3.6640625" customWidth="1"/>
    <col min="9468" max="9468" width="30.5" bestFit="1" customWidth="1"/>
    <col min="9469" max="9469" width="11.33203125" bestFit="1" customWidth="1"/>
    <col min="9470" max="9470" width="10.33203125" bestFit="1" customWidth="1"/>
    <col min="9471" max="9471" width="11.33203125" bestFit="1" customWidth="1"/>
    <col min="9472" max="9477" width="10.33203125" bestFit="1" customWidth="1"/>
    <col min="9478" max="9478" width="10.83203125" bestFit="1" customWidth="1"/>
    <col min="9479" max="9479" width="10.33203125" bestFit="1" customWidth="1"/>
    <col min="9480" max="9480" width="10.83203125" bestFit="1" customWidth="1"/>
    <col min="9481" max="9481" width="10.33203125" bestFit="1" customWidth="1"/>
    <col min="9723" max="9723" width="3.6640625" customWidth="1"/>
    <col min="9724" max="9724" width="30.5" bestFit="1" customWidth="1"/>
    <col min="9725" max="9725" width="11.33203125" bestFit="1" customWidth="1"/>
    <col min="9726" max="9726" width="10.33203125" bestFit="1" customWidth="1"/>
    <col min="9727" max="9727" width="11.33203125" bestFit="1" customWidth="1"/>
    <col min="9728" max="9733" width="10.33203125" bestFit="1" customWidth="1"/>
    <col min="9734" max="9734" width="10.83203125" bestFit="1" customWidth="1"/>
    <col min="9735" max="9735" width="10.33203125" bestFit="1" customWidth="1"/>
    <col min="9736" max="9736" width="10.83203125" bestFit="1" customWidth="1"/>
    <col min="9737" max="9737" width="10.33203125" bestFit="1" customWidth="1"/>
    <col min="9979" max="9979" width="3.6640625" customWidth="1"/>
    <col min="9980" max="9980" width="30.5" bestFit="1" customWidth="1"/>
    <col min="9981" max="9981" width="11.33203125" bestFit="1" customWidth="1"/>
    <col min="9982" max="9982" width="10.33203125" bestFit="1" customWidth="1"/>
    <col min="9983" max="9983" width="11.33203125" bestFit="1" customWidth="1"/>
    <col min="9984" max="9989" width="10.33203125" bestFit="1" customWidth="1"/>
    <col min="9990" max="9990" width="10.83203125" bestFit="1" customWidth="1"/>
    <col min="9991" max="9991" width="10.33203125" bestFit="1" customWidth="1"/>
    <col min="9992" max="9992" width="10.83203125" bestFit="1" customWidth="1"/>
    <col min="9993" max="9993" width="10.33203125" bestFit="1" customWidth="1"/>
    <col min="10235" max="10235" width="3.6640625" customWidth="1"/>
    <col min="10236" max="10236" width="30.5" bestFit="1" customWidth="1"/>
    <col min="10237" max="10237" width="11.33203125" bestFit="1" customWidth="1"/>
    <col min="10238" max="10238" width="10.33203125" bestFit="1" customWidth="1"/>
    <col min="10239" max="10239" width="11.33203125" bestFit="1" customWidth="1"/>
    <col min="10240" max="10245" width="10.33203125" bestFit="1" customWidth="1"/>
    <col min="10246" max="10246" width="10.83203125" bestFit="1" customWidth="1"/>
    <col min="10247" max="10247" width="10.33203125" bestFit="1" customWidth="1"/>
    <col min="10248" max="10248" width="10.83203125" bestFit="1" customWidth="1"/>
    <col min="10249" max="10249" width="10.33203125" bestFit="1" customWidth="1"/>
    <col min="10491" max="10491" width="3.6640625" customWidth="1"/>
    <col min="10492" max="10492" width="30.5" bestFit="1" customWidth="1"/>
    <col min="10493" max="10493" width="11.33203125" bestFit="1" customWidth="1"/>
    <col min="10494" max="10494" width="10.33203125" bestFit="1" customWidth="1"/>
    <col min="10495" max="10495" width="11.33203125" bestFit="1" customWidth="1"/>
    <col min="10496" max="10501" width="10.33203125" bestFit="1" customWidth="1"/>
    <col min="10502" max="10502" width="10.83203125" bestFit="1" customWidth="1"/>
    <col min="10503" max="10503" width="10.33203125" bestFit="1" customWidth="1"/>
    <col min="10504" max="10504" width="10.83203125" bestFit="1" customWidth="1"/>
    <col min="10505" max="10505" width="10.33203125" bestFit="1" customWidth="1"/>
    <col min="10747" max="10747" width="3.6640625" customWidth="1"/>
    <col min="10748" max="10748" width="30.5" bestFit="1" customWidth="1"/>
    <col min="10749" max="10749" width="11.33203125" bestFit="1" customWidth="1"/>
    <col min="10750" max="10750" width="10.33203125" bestFit="1" customWidth="1"/>
    <col min="10751" max="10751" width="11.33203125" bestFit="1" customWidth="1"/>
    <col min="10752" max="10757" width="10.33203125" bestFit="1" customWidth="1"/>
    <col min="10758" max="10758" width="10.83203125" bestFit="1" customWidth="1"/>
    <col min="10759" max="10759" width="10.33203125" bestFit="1" customWidth="1"/>
    <col min="10760" max="10760" width="10.83203125" bestFit="1" customWidth="1"/>
    <col min="10761" max="10761" width="10.33203125" bestFit="1" customWidth="1"/>
    <col min="11003" max="11003" width="3.6640625" customWidth="1"/>
    <col min="11004" max="11004" width="30.5" bestFit="1" customWidth="1"/>
    <col min="11005" max="11005" width="11.33203125" bestFit="1" customWidth="1"/>
    <col min="11006" max="11006" width="10.33203125" bestFit="1" customWidth="1"/>
    <col min="11007" max="11007" width="11.33203125" bestFit="1" customWidth="1"/>
    <col min="11008" max="11013" width="10.33203125" bestFit="1" customWidth="1"/>
    <col min="11014" max="11014" width="10.83203125" bestFit="1" customWidth="1"/>
    <col min="11015" max="11015" width="10.33203125" bestFit="1" customWidth="1"/>
    <col min="11016" max="11016" width="10.83203125" bestFit="1" customWidth="1"/>
    <col min="11017" max="11017" width="10.33203125" bestFit="1" customWidth="1"/>
    <col min="11259" max="11259" width="3.6640625" customWidth="1"/>
    <col min="11260" max="11260" width="30.5" bestFit="1" customWidth="1"/>
    <col min="11261" max="11261" width="11.33203125" bestFit="1" customWidth="1"/>
    <col min="11262" max="11262" width="10.33203125" bestFit="1" customWidth="1"/>
    <col min="11263" max="11263" width="11.33203125" bestFit="1" customWidth="1"/>
    <col min="11264" max="11269" width="10.33203125" bestFit="1" customWidth="1"/>
    <col min="11270" max="11270" width="10.83203125" bestFit="1" customWidth="1"/>
    <col min="11271" max="11271" width="10.33203125" bestFit="1" customWidth="1"/>
    <col min="11272" max="11272" width="10.83203125" bestFit="1" customWidth="1"/>
    <col min="11273" max="11273" width="10.33203125" bestFit="1" customWidth="1"/>
    <col min="11515" max="11515" width="3.6640625" customWidth="1"/>
    <col min="11516" max="11516" width="30.5" bestFit="1" customWidth="1"/>
    <col min="11517" max="11517" width="11.33203125" bestFit="1" customWidth="1"/>
    <col min="11518" max="11518" width="10.33203125" bestFit="1" customWidth="1"/>
    <col min="11519" max="11519" width="11.33203125" bestFit="1" customWidth="1"/>
    <col min="11520" max="11525" width="10.33203125" bestFit="1" customWidth="1"/>
    <col min="11526" max="11526" width="10.83203125" bestFit="1" customWidth="1"/>
    <col min="11527" max="11527" width="10.33203125" bestFit="1" customWidth="1"/>
    <col min="11528" max="11528" width="10.83203125" bestFit="1" customWidth="1"/>
    <col min="11529" max="11529" width="10.33203125" bestFit="1" customWidth="1"/>
    <col min="11771" max="11771" width="3.6640625" customWidth="1"/>
    <col min="11772" max="11772" width="30.5" bestFit="1" customWidth="1"/>
    <col min="11773" max="11773" width="11.33203125" bestFit="1" customWidth="1"/>
    <col min="11774" max="11774" width="10.33203125" bestFit="1" customWidth="1"/>
    <col min="11775" max="11775" width="11.33203125" bestFit="1" customWidth="1"/>
    <col min="11776" max="11781" width="10.33203125" bestFit="1" customWidth="1"/>
    <col min="11782" max="11782" width="10.83203125" bestFit="1" customWidth="1"/>
    <col min="11783" max="11783" width="10.33203125" bestFit="1" customWidth="1"/>
    <col min="11784" max="11784" width="10.83203125" bestFit="1" customWidth="1"/>
    <col min="11785" max="11785" width="10.33203125" bestFit="1" customWidth="1"/>
    <col min="12027" max="12027" width="3.6640625" customWidth="1"/>
    <col min="12028" max="12028" width="30.5" bestFit="1" customWidth="1"/>
    <col min="12029" max="12029" width="11.33203125" bestFit="1" customWidth="1"/>
    <col min="12030" max="12030" width="10.33203125" bestFit="1" customWidth="1"/>
    <col min="12031" max="12031" width="11.33203125" bestFit="1" customWidth="1"/>
    <col min="12032" max="12037" width="10.33203125" bestFit="1" customWidth="1"/>
    <col min="12038" max="12038" width="10.83203125" bestFit="1" customWidth="1"/>
    <col min="12039" max="12039" width="10.33203125" bestFit="1" customWidth="1"/>
    <col min="12040" max="12040" width="10.83203125" bestFit="1" customWidth="1"/>
    <col min="12041" max="12041" width="10.33203125" bestFit="1" customWidth="1"/>
    <col min="12283" max="12283" width="3.6640625" customWidth="1"/>
    <col min="12284" max="12284" width="30.5" bestFit="1" customWidth="1"/>
    <col min="12285" max="12285" width="11.33203125" bestFit="1" customWidth="1"/>
    <col min="12286" max="12286" width="10.33203125" bestFit="1" customWidth="1"/>
    <col min="12287" max="12287" width="11.33203125" bestFit="1" customWidth="1"/>
    <col min="12288" max="12293" width="10.33203125" bestFit="1" customWidth="1"/>
    <col min="12294" max="12294" width="10.83203125" bestFit="1" customWidth="1"/>
    <col min="12295" max="12295" width="10.33203125" bestFit="1" customWidth="1"/>
    <col min="12296" max="12296" width="10.83203125" bestFit="1" customWidth="1"/>
    <col min="12297" max="12297" width="10.33203125" bestFit="1" customWidth="1"/>
    <col min="12539" max="12539" width="3.6640625" customWidth="1"/>
    <col min="12540" max="12540" width="30.5" bestFit="1" customWidth="1"/>
    <col min="12541" max="12541" width="11.33203125" bestFit="1" customWidth="1"/>
    <col min="12542" max="12542" width="10.33203125" bestFit="1" customWidth="1"/>
    <col min="12543" max="12543" width="11.33203125" bestFit="1" customWidth="1"/>
    <col min="12544" max="12549" width="10.33203125" bestFit="1" customWidth="1"/>
    <col min="12550" max="12550" width="10.83203125" bestFit="1" customWidth="1"/>
    <col min="12551" max="12551" width="10.33203125" bestFit="1" customWidth="1"/>
    <col min="12552" max="12552" width="10.83203125" bestFit="1" customWidth="1"/>
    <col min="12553" max="12553" width="10.33203125" bestFit="1" customWidth="1"/>
    <col min="12795" max="12795" width="3.6640625" customWidth="1"/>
    <col min="12796" max="12796" width="30.5" bestFit="1" customWidth="1"/>
    <col min="12797" max="12797" width="11.33203125" bestFit="1" customWidth="1"/>
    <col min="12798" max="12798" width="10.33203125" bestFit="1" customWidth="1"/>
    <col min="12799" max="12799" width="11.33203125" bestFit="1" customWidth="1"/>
    <col min="12800" max="12805" width="10.33203125" bestFit="1" customWidth="1"/>
    <col min="12806" max="12806" width="10.83203125" bestFit="1" customWidth="1"/>
    <col min="12807" max="12807" width="10.33203125" bestFit="1" customWidth="1"/>
    <col min="12808" max="12808" width="10.83203125" bestFit="1" customWidth="1"/>
    <col min="12809" max="12809" width="10.33203125" bestFit="1" customWidth="1"/>
    <col min="13051" max="13051" width="3.6640625" customWidth="1"/>
    <col min="13052" max="13052" width="30.5" bestFit="1" customWidth="1"/>
    <col min="13053" max="13053" width="11.33203125" bestFit="1" customWidth="1"/>
    <col min="13054" max="13054" width="10.33203125" bestFit="1" customWidth="1"/>
    <col min="13055" max="13055" width="11.33203125" bestFit="1" customWidth="1"/>
    <col min="13056" max="13061" width="10.33203125" bestFit="1" customWidth="1"/>
    <col min="13062" max="13062" width="10.83203125" bestFit="1" customWidth="1"/>
    <col min="13063" max="13063" width="10.33203125" bestFit="1" customWidth="1"/>
    <col min="13064" max="13064" width="10.83203125" bestFit="1" customWidth="1"/>
    <col min="13065" max="13065" width="10.33203125" bestFit="1" customWidth="1"/>
    <col min="13307" max="13307" width="3.6640625" customWidth="1"/>
    <col min="13308" max="13308" width="30.5" bestFit="1" customWidth="1"/>
    <col min="13309" max="13309" width="11.33203125" bestFit="1" customWidth="1"/>
    <col min="13310" max="13310" width="10.33203125" bestFit="1" customWidth="1"/>
    <col min="13311" max="13311" width="11.33203125" bestFit="1" customWidth="1"/>
    <col min="13312" max="13317" width="10.33203125" bestFit="1" customWidth="1"/>
    <col min="13318" max="13318" width="10.83203125" bestFit="1" customWidth="1"/>
    <col min="13319" max="13319" width="10.33203125" bestFit="1" customWidth="1"/>
    <col min="13320" max="13320" width="10.83203125" bestFit="1" customWidth="1"/>
    <col min="13321" max="13321" width="10.33203125" bestFit="1" customWidth="1"/>
    <col min="13563" max="13563" width="3.6640625" customWidth="1"/>
    <col min="13564" max="13564" width="30.5" bestFit="1" customWidth="1"/>
    <col min="13565" max="13565" width="11.33203125" bestFit="1" customWidth="1"/>
    <col min="13566" max="13566" width="10.33203125" bestFit="1" customWidth="1"/>
    <col min="13567" max="13567" width="11.33203125" bestFit="1" customWidth="1"/>
    <col min="13568" max="13573" width="10.33203125" bestFit="1" customWidth="1"/>
    <col min="13574" max="13574" width="10.83203125" bestFit="1" customWidth="1"/>
    <col min="13575" max="13575" width="10.33203125" bestFit="1" customWidth="1"/>
    <col min="13576" max="13576" width="10.83203125" bestFit="1" customWidth="1"/>
    <col min="13577" max="13577" width="10.33203125" bestFit="1" customWidth="1"/>
    <col min="13819" max="13819" width="3.6640625" customWidth="1"/>
    <col min="13820" max="13820" width="30.5" bestFit="1" customWidth="1"/>
    <col min="13821" max="13821" width="11.33203125" bestFit="1" customWidth="1"/>
    <col min="13822" max="13822" width="10.33203125" bestFit="1" customWidth="1"/>
    <col min="13823" max="13823" width="11.33203125" bestFit="1" customWidth="1"/>
    <col min="13824" max="13829" width="10.33203125" bestFit="1" customWidth="1"/>
    <col min="13830" max="13830" width="10.83203125" bestFit="1" customWidth="1"/>
    <col min="13831" max="13831" width="10.33203125" bestFit="1" customWidth="1"/>
    <col min="13832" max="13832" width="10.83203125" bestFit="1" customWidth="1"/>
    <col min="13833" max="13833" width="10.33203125" bestFit="1" customWidth="1"/>
    <col min="14075" max="14075" width="3.6640625" customWidth="1"/>
    <col min="14076" max="14076" width="30.5" bestFit="1" customWidth="1"/>
    <col min="14077" max="14077" width="11.33203125" bestFit="1" customWidth="1"/>
    <col min="14078" max="14078" width="10.33203125" bestFit="1" customWidth="1"/>
    <col min="14079" max="14079" width="11.33203125" bestFit="1" customWidth="1"/>
    <col min="14080" max="14085" width="10.33203125" bestFit="1" customWidth="1"/>
    <col min="14086" max="14086" width="10.83203125" bestFit="1" customWidth="1"/>
    <col min="14087" max="14087" width="10.33203125" bestFit="1" customWidth="1"/>
    <col min="14088" max="14088" width="10.83203125" bestFit="1" customWidth="1"/>
    <col min="14089" max="14089" width="10.33203125" bestFit="1" customWidth="1"/>
    <col min="14331" max="14331" width="3.6640625" customWidth="1"/>
    <col min="14332" max="14332" width="30.5" bestFit="1" customWidth="1"/>
    <col min="14333" max="14333" width="11.33203125" bestFit="1" customWidth="1"/>
    <col min="14334" max="14334" width="10.33203125" bestFit="1" customWidth="1"/>
    <col min="14335" max="14335" width="11.33203125" bestFit="1" customWidth="1"/>
    <col min="14336" max="14341" width="10.33203125" bestFit="1" customWidth="1"/>
    <col min="14342" max="14342" width="10.83203125" bestFit="1" customWidth="1"/>
    <col min="14343" max="14343" width="10.33203125" bestFit="1" customWidth="1"/>
    <col min="14344" max="14344" width="10.83203125" bestFit="1" customWidth="1"/>
    <col min="14345" max="14345" width="10.33203125" bestFit="1" customWidth="1"/>
    <col min="14587" max="14587" width="3.6640625" customWidth="1"/>
    <col min="14588" max="14588" width="30.5" bestFit="1" customWidth="1"/>
    <col min="14589" max="14589" width="11.33203125" bestFit="1" customWidth="1"/>
    <col min="14590" max="14590" width="10.33203125" bestFit="1" customWidth="1"/>
    <col min="14591" max="14591" width="11.33203125" bestFit="1" customWidth="1"/>
    <col min="14592" max="14597" width="10.33203125" bestFit="1" customWidth="1"/>
    <col min="14598" max="14598" width="10.83203125" bestFit="1" customWidth="1"/>
    <col min="14599" max="14599" width="10.33203125" bestFit="1" customWidth="1"/>
    <col min="14600" max="14600" width="10.83203125" bestFit="1" customWidth="1"/>
    <col min="14601" max="14601" width="10.33203125" bestFit="1" customWidth="1"/>
    <col min="14843" max="14843" width="3.6640625" customWidth="1"/>
    <col min="14844" max="14844" width="30.5" bestFit="1" customWidth="1"/>
    <col min="14845" max="14845" width="11.33203125" bestFit="1" customWidth="1"/>
    <col min="14846" max="14846" width="10.33203125" bestFit="1" customWidth="1"/>
    <col min="14847" max="14847" width="11.33203125" bestFit="1" customWidth="1"/>
    <col min="14848" max="14853" width="10.33203125" bestFit="1" customWidth="1"/>
    <col min="14854" max="14854" width="10.83203125" bestFit="1" customWidth="1"/>
    <col min="14855" max="14855" width="10.33203125" bestFit="1" customWidth="1"/>
    <col min="14856" max="14856" width="10.83203125" bestFit="1" customWidth="1"/>
    <col min="14857" max="14857" width="10.33203125" bestFit="1" customWidth="1"/>
    <col min="15099" max="15099" width="3.6640625" customWidth="1"/>
    <col min="15100" max="15100" width="30.5" bestFit="1" customWidth="1"/>
    <col min="15101" max="15101" width="11.33203125" bestFit="1" customWidth="1"/>
    <col min="15102" max="15102" width="10.33203125" bestFit="1" customWidth="1"/>
    <col min="15103" max="15103" width="11.33203125" bestFit="1" customWidth="1"/>
    <col min="15104" max="15109" width="10.33203125" bestFit="1" customWidth="1"/>
    <col min="15110" max="15110" width="10.83203125" bestFit="1" customWidth="1"/>
    <col min="15111" max="15111" width="10.33203125" bestFit="1" customWidth="1"/>
    <col min="15112" max="15112" width="10.83203125" bestFit="1" customWidth="1"/>
    <col min="15113" max="15113" width="10.33203125" bestFit="1" customWidth="1"/>
    <col min="15355" max="15355" width="3.6640625" customWidth="1"/>
    <col min="15356" max="15356" width="30.5" bestFit="1" customWidth="1"/>
    <col min="15357" max="15357" width="11.33203125" bestFit="1" customWidth="1"/>
    <col min="15358" max="15358" width="10.33203125" bestFit="1" customWidth="1"/>
    <col min="15359" max="15359" width="11.33203125" bestFit="1" customWidth="1"/>
    <col min="15360" max="15365" width="10.33203125" bestFit="1" customWidth="1"/>
    <col min="15366" max="15366" width="10.83203125" bestFit="1" customWidth="1"/>
    <col min="15367" max="15367" width="10.33203125" bestFit="1" customWidth="1"/>
    <col min="15368" max="15368" width="10.83203125" bestFit="1" customWidth="1"/>
    <col min="15369" max="15369" width="10.33203125" bestFit="1" customWidth="1"/>
    <col min="15611" max="15611" width="3.6640625" customWidth="1"/>
    <col min="15612" max="15612" width="30.5" bestFit="1" customWidth="1"/>
    <col min="15613" max="15613" width="11.33203125" bestFit="1" customWidth="1"/>
    <col min="15614" max="15614" width="10.33203125" bestFit="1" customWidth="1"/>
    <col min="15615" max="15615" width="11.33203125" bestFit="1" customWidth="1"/>
    <col min="15616" max="15621" width="10.33203125" bestFit="1" customWidth="1"/>
    <col min="15622" max="15622" width="10.83203125" bestFit="1" customWidth="1"/>
    <col min="15623" max="15623" width="10.33203125" bestFit="1" customWidth="1"/>
    <col min="15624" max="15624" width="10.83203125" bestFit="1" customWidth="1"/>
    <col min="15625" max="15625" width="10.33203125" bestFit="1" customWidth="1"/>
    <col min="15867" max="15867" width="3.6640625" customWidth="1"/>
    <col min="15868" max="15868" width="30.5" bestFit="1" customWidth="1"/>
    <col min="15869" max="15869" width="11.33203125" bestFit="1" customWidth="1"/>
    <col min="15870" max="15870" width="10.33203125" bestFit="1" customWidth="1"/>
    <col min="15871" max="15871" width="11.33203125" bestFit="1" customWidth="1"/>
    <col min="15872" max="15877" width="10.33203125" bestFit="1" customWidth="1"/>
    <col min="15878" max="15878" width="10.83203125" bestFit="1" customWidth="1"/>
    <col min="15879" max="15879" width="10.33203125" bestFit="1" customWidth="1"/>
    <col min="15880" max="15880" width="10.83203125" bestFit="1" customWidth="1"/>
    <col min="15881" max="15881" width="10.33203125" bestFit="1" customWidth="1"/>
    <col min="16123" max="16123" width="3.6640625" customWidth="1"/>
    <col min="16124" max="16124" width="30.5" bestFit="1" customWidth="1"/>
    <col min="16125" max="16125" width="11.33203125" bestFit="1" customWidth="1"/>
    <col min="16126" max="16126" width="10.33203125" bestFit="1" customWidth="1"/>
    <col min="16127" max="16127" width="11.33203125" bestFit="1" customWidth="1"/>
    <col min="16128" max="16133" width="10.33203125" bestFit="1" customWidth="1"/>
    <col min="16134" max="16134" width="10.83203125" bestFit="1" customWidth="1"/>
    <col min="16135" max="16135" width="10.33203125" bestFit="1" customWidth="1"/>
    <col min="16136" max="16136" width="10.83203125" bestFit="1" customWidth="1"/>
    <col min="16137" max="16137" width="10.33203125" bestFit="1" customWidth="1"/>
  </cols>
  <sheetData>
    <row r="1" spans="1:32">
      <c r="A1" s="25" t="s">
        <v>204</v>
      </c>
    </row>
    <row r="2" spans="1:32">
      <c r="A2" s="25" t="s">
        <v>80</v>
      </c>
      <c r="AF2" s="22"/>
    </row>
    <row r="3" spans="1:32">
      <c r="A3" s="25"/>
      <c r="AF3" s="22"/>
    </row>
    <row r="4" spans="1:32">
      <c r="A4" s="25"/>
      <c r="B4" s="8" t="s">
        <v>197</v>
      </c>
      <c r="C4" s="60">
        <v>65</v>
      </c>
      <c r="D4" s="1">
        <v>66</v>
      </c>
      <c r="E4" s="1">
        <v>67</v>
      </c>
      <c r="F4" s="1">
        <v>68</v>
      </c>
      <c r="G4" s="1">
        <v>69</v>
      </c>
      <c r="H4" s="60">
        <v>70</v>
      </c>
      <c r="I4" s="1">
        <v>71</v>
      </c>
      <c r="J4" s="1">
        <v>72</v>
      </c>
      <c r="K4" s="1">
        <v>73</v>
      </c>
      <c r="L4" s="1">
        <v>74</v>
      </c>
      <c r="M4" s="60">
        <v>75</v>
      </c>
      <c r="N4" s="1">
        <v>76</v>
      </c>
      <c r="O4" s="1">
        <v>77</v>
      </c>
      <c r="P4" s="1">
        <v>78</v>
      </c>
      <c r="Q4" s="1">
        <v>79</v>
      </c>
      <c r="R4" s="60">
        <v>80</v>
      </c>
      <c r="S4" s="1">
        <v>81</v>
      </c>
      <c r="T4" s="1">
        <v>82</v>
      </c>
      <c r="U4" s="1">
        <v>83</v>
      </c>
      <c r="V4" s="1">
        <v>84</v>
      </c>
      <c r="W4" s="60">
        <v>85</v>
      </c>
      <c r="X4" s="1">
        <v>86</v>
      </c>
      <c r="Y4" s="1">
        <v>87</v>
      </c>
      <c r="Z4" s="1">
        <v>88</v>
      </c>
      <c r="AA4" s="1">
        <v>89</v>
      </c>
      <c r="AB4" s="60">
        <v>90</v>
      </c>
      <c r="AC4" s="1">
        <v>91</v>
      </c>
      <c r="AD4" s="1">
        <v>92</v>
      </c>
      <c r="AE4" s="1" t="s">
        <v>59</v>
      </c>
      <c r="AF4" s="1" t="s">
        <v>59</v>
      </c>
    </row>
    <row r="5" spans="1:32">
      <c r="B5" s="8" t="s">
        <v>197</v>
      </c>
      <c r="C5" s="61">
        <v>65</v>
      </c>
      <c r="D5" s="21">
        <v>66</v>
      </c>
      <c r="E5" s="21">
        <v>67</v>
      </c>
      <c r="F5" s="21">
        <v>68</v>
      </c>
      <c r="G5" s="21">
        <v>69</v>
      </c>
      <c r="H5" s="61">
        <v>70</v>
      </c>
      <c r="I5" s="21">
        <v>71</v>
      </c>
      <c r="J5" s="21">
        <v>72</v>
      </c>
      <c r="K5" s="21">
        <v>73</v>
      </c>
      <c r="L5" s="21">
        <v>74</v>
      </c>
      <c r="M5" s="61">
        <v>75</v>
      </c>
      <c r="N5" s="21">
        <v>76</v>
      </c>
      <c r="O5" s="21">
        <v>77</v>
      </c>
      <c r="P5" s="21">
        <v>78</v>
      </c>
      <c r="Q5" s="21">
        <v>79</v>
      </c>
      <c r="R5" s="61">
        <v>80</v>
      </c>
      <c r="S5" s="21">
        <v>81</v>
      </c>
      <c r="T5" s="21">
        <v>82</v>
      </c>
      <c r="U5" s="21">
        <v>83</v>
      </c>
      <c r="V5" s="21">
        <v>84</v>
      </c>
      <c r="W5" s="61">
        <v>85</v>
      </c>
      <c r="X5" s="21">
        <v>86</v>
      </c>
      <c r="Y5" s="21">
        <v>87</v>
      </c>
      <c r="Z5" s="21">
        <v>88</v>
      </c>
      <c r="AA5" s="21">
        <v>89</v>
      </c>
      <c r="AB5" s="61">
        <v>90</v>
      </c>
      <c r="AC5" s="21">
        <v>91</v>
      </c>
      <c r="AD5" s="21">
        <v>92</v>
      </c>
      <c r="AE5" s="21">
        <v>93</v>
      </c>
      <c r="AF5" s="21">
        <v>94</v>
      </c>
    </row>
    <row r="6" spans="1:3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32">
      <c r="B7" s="1"/>
      <c r="C7" s="10" t="s">
        <v>123</v>
      </c>
      <c r="D7" s="10" t="s">
        <v>124</v>
      </c>
      <c r="E7" s="10" t="s">
        <v>125</v>
      </c>
      <c r="F7" s="10" t="s">
        <v>126</v>
      </c>
      <c r="G7" s="10" t="s">
        <v>127</v>
      </c>
      <c r="H7" s="10" t="s">
        <v>128</v>
      </c>
      <c r="I7" s="10" t="s">
        <v>129</v>
      </c>
      <c r="J7" s="10" t="s">
        <v>130</v>
      </c>
      <c r="K7" s="10" t="s">
        <v>131</v>
      </c>
      <c r="L7" s="10" t="s">
        <v>132</v>
      </c>
      <c r="M7" s="10" t="s">
        <v>133</v>
      </c>
      <c r="N7" s="10" t="s">
        <v>134</v>
      </c>
      <c r="O7" s="10" t="s">
        <v>135</v>
      </c>
      <c r="P7" s="10" t="s">
        <v>136</v>
      </c>
      <c r="Q7" s="10" t="s">
        <v>137</v>
      </c>
      <c r="R7" s="10" t="s">
        <v>138</v>
      </c>
      <c r="S7" s="10" t="s">
        <v>139</v>
      </c>
      <c r="T7" s="10" t="s">
        <v>140</v>
      </c>
      <c r="U7" s="10" t="s">
        <v>141</v>
      </c>
      <c r="V7" s="10" t="s">
        <v>142</v>
      </c>
      <c r="W7" s="10" t="s">
        <v>143</v>
      </c>
      <c r="X7" s="10" t="s">
        <v>144</v>
      </c>
      <c r="Y7" s="10" t="s">
        <v>145</v>
      </c>
      <c r="Z7" s="10" t="s">
        <v>146</v>
      </c>
      <c r="AA7" s="10" t="s">
        <v>147</v>
      </c>
      <c r="AB7" s="10" t="s">
        <v>148</v>
      </c>
      <c r="AC7" s="10" t="s">
        <v>149</v>
      </c>
      <c r="AD7" s="10" t="s">
        <v>150</v>
      </c>
      <c r="AE7" s="10" t="s">
        <v>151</v>
      </c>
      <c r="AF7" s="10" t="s">
        <v>152</v>
      </c>
    </row>
    <row r="8" spans="1:3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32">
      <c r="A9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32">
      <c r="B10" t="s">
        <v>61</v>
      </c>
      <c r="C10" s="17">
        <f>Data!C17</f>
        <v>500000</v>
      </c>
      <c r="D10" s="17">
        <f>Data!D17</f>
        <v>500000</v>
      </c>
      <c r="E10" s="17">
        <f>Data!E17</f>
        <v>500000</v>
      </c>
      <c r="F10" s="17">
        <f>Data!F17</f>
        <v>500000</v>
      </c>
      <c r="G10" s="17">
        <f>Data!G17</f>
        <v>500000</v>
      </c>
      <c r="H10" s="17">
        <f>Data!H17</f>
        <v>0</v>
      </c>
      <c r="I10" s="17">
        <f>Data!I17</f>
        <v>0</v>
      </c>
      <c r="J10" s="17">
        <f>Data!J17</f>
        <v>0</v>
      </c>
      <c r="K10" s="17">
        <f>Data!K17</f>
        <v>0</v>
      </c>
      <c r="L10" s="17">
        <f>Data!L17</f>
        <v>0</v>
      </c>
      <c r="M10" s="17">
        <f>Data!M17</f>
        <v>0</v>
      </c>
      <c r="N10" s="17">
        <f>Data!N17</f>
        <v>0</v>
      </c>
      <c r="O10" s="17">
        <f>Data!O17</f>
        <v>0</v>
      </c>
      <c r="P10" s="17">
        <f>Data!P17</f>
        <v>0</v>
      </c>
      <c r="Q10" s="17">
        <f>Data!Q17</f>
        <v>0</v>
      </c>
      <c r="R10" s="17">
        <f>Data!R17</f>
        <v>0</v>
      </c>
      <c r="S10" s="17">
        <f>Data!S17</f>
        <v>0</v>
      </c>
      <c r="T10" s="17">
        <f>Data!T17</f>
        <v>0</v>
      </c>
      <c r="U10" s="17">
        <f>Data!U17</f>
        <v>0</v>
      </c>
      <c r="V10" s="17">
        <f>Data!V17</f>
        <v>0</v>
      </c>
      <c r="W10" s="17">
        <f>Data!W17</f>
        <v>0</v>
      </c>
      <c r="X10" s="17">
        <f>Data!X17</f>
        <v>0</v>
      </c>
      <c r="Y10" s="17">
        <f>Data!Y17</f>
        <v>0</v>
      </c>
      <c r="Z10" s="17">
        <f>Data!Z17</f>
        <v>0</v>
      </c>
      <c r="AA10" s="17">
        <f>Data!AA17</f>
        <v>0</v>
      </c>
      <c r="AB10" s="17">
        <f>Data!AB17</f>
        <v>0</v>
      </c>
      <c r="AC10" s="17">
        <f>Data!AC17</f>
        <v>0</v>
      </c>
      <c r="AD10" s="17">
        <f>Data!AD17</f>
        <v>0</v>
      </c>
      <c r="AE10" s="17">
        <f>Data!AE17</f>
        <v>0</v>
      </c>
      <c r="AF10" s="17">
        <f>Data!AF17</f>
        <v>0</v>
      </c>
    </row>
    <row r="11" spans="1:32">
      <c r="B11" s="33" t="s">
        <v>99</v>
      </c>
      <c r="C11" s="17">
        <f>Data!C16</f>
        <v>100000</v>
      </c>
      <c r="D11" s="17">
        <f>Data!D16</f>
        <v>103000</v>
      </c>
      <c r="E11" s="17">
        <f>Data!E16</f>
        <v>106090</v>
      </c>
      <c r="F11" s="17">
        <f>Data!F16</f>
        <v>109272.7</v>
      </c>
      <c r="G11" s="17">
        <f>Data!G16</f>
        <v>112550.88099999999</v>
      </c>
      <c r="H11" s="17">
        <f>Data!H16</f>
        <v>0</v>
      </c>
      <c r="I11" s="17">
        <f>Data!I16</f>
        <v>0</v>
      </c>
      <c r="J11" s="17">
        <f>Data!J16</f>
        <v>0</v>
      </c>
      <c r="K11" s="17">
        <f>Data!K16</f>
        <v>0</v>
      </c>
      <c r="L11" s="17">
        <f>Data!L16</f>
        <v>0</v>
      </c>
      <c r="M11" s="17">
        <f>Data!M16</f>
        <v>0</v>
      </c>
      <c r="N11" s="17">
        <f>Data!N16</f>
        <v>0</v>
      </c>
      <c r="O11" s="17">
        <f>Data!O16</f>
        <v>0</v>
      </c>
      <c r="P11" s="17">
        <f>Data!P16</f>
        <v>0</v>
      </c>
      <c r="Q11" s="17">
        <f>Data!Q16</f>
        <v>0</v>
      </c>
      <c r="R11" s="17">
        <f>Data!R16</f>
        <v>0</v>
      </c>
      <c r="S11" s="17">
        <f>Data!S16</f>
        <v>0</v>
      </c>
      <c r="T11" s="17">
        <f>Data!T16</f>
        <v>0</v>
      </c>
      <c r="U11" s="17">
        <f>Data!U16</f>
        <v>0</v>
      </c>
      <c r="V11" s="17">
        <f>Data!V16</f>
        <v>0</v>
      </c>
      <c r="W11" s="17">
        <f>Data!W16</f>
        <v>0</v>
      </c>
      <c r="X11" s="17">
        <f>Data!X16</f>
        <v>0</v>
      </c>
      <c r="Y11" s="17">
        <f>Data!Y16</f>
        <v>0</v>
      </c>
      <c r="Z11" s="17">
        <f>Data!Z16</f>
        <v>0</v>
      </c>
      <c r="AA11" s="17">
        <f>Data!AA16</f>
        <v>0</v>
      </c>
      <c r="AB11" s="17">
        <f>Data!AB16</f>
        <v>0</v>
      </c>
      <c r="AC11" s="17">
        <f>Data!AC16</f>
        <v>0</v>
      </c>
      <c r="AD11" s="17">
        <f>Data!AD16</f>
        <v>0</v>
      </c>
      <c r="AE11" s="17">
        <f>Data!AE16</f>
        <v>0</v>
      </c>
      <c r="AF11" s="17">
        <f>Data!AF16</f>
        <v>0</v>
      </c>
    </row>
    <row r="12" spans="1:32">
      <c r="B12" t="s">
        <v>62</v>
      </c>
      <c r="C12" s="17">
        <f>Data!C11+Data!C12</f>
        <v>107500</v>
      </c>
      <c r="D12" s="17">
        <f>Data!D11+Data!D12</f>
        <v>111287.5</v>
      </c>
      <c r="E12" s="17">
        <f>Data!E11+Data!E12</f>
        <v>115229.6875</v>
      </c>
      <c r="F12" s="17">
        <f>Data!F11+Data!F12</f>
        <v>119333.28718750001</v>
      </c>
      <c r="G12" s="17">
        <f>Data!G11+Data!G12</f>
        <v>123605.32281718749</v>
      </c>
      <c r="H12" s="17">
        <f>Data!H11+Data!H12</f>
        <v>128053.13061580469</v>
      </c>
      <c r="I12" s="17">
        <f>Data!I11+Data!I12</f>
        <v>132684.37328943732</v>
      </c>
      <c r="J12" s="17">
        <f>Data!J11+Data!J12</f>
        <v>137507.0546603222</v>
      </c>
      <c r="K12" s="17">
        <f>Data!K11+Data!K12</f>
        <v>142529.53496148984</v>
      </c>
      <c r="L12" s="17">
        <f>Data!L11+Data!L12</f>
        <v>147760.54681883182</v>
      </c>
      <c r="M12" s="17">
        <f>Data!M11+Data!M12</f>
        <v>153209.21195151529</v>
      </c>
      <c r="N12" s="17">
        <f>Data!N11+Data!N12</f>
        <v>158885.05862305709</v>
      </c>
      <c r="O12" s="17">
        <f>Data!O11+Data!O12</f>
        <v>164798.03987682407</v>
      </c>
      <c r="P12" s="17">
        <f>Data!P11+Data!P12</f>
        <v>170958.55259124655</v>
      </c>
      <c r="Q12" s="17">
        <f>Data!Q11+Data!Q12</f>
        <v>177377.45739161753</v>
      </c>
      <c r="R12" s="17">
        <f>Data!R11+Data!R12</f>
        <v>184066.09945701167</v>
      </c>
      <c r="S12" s="17">
        <f>Data!S11+Data!S12</f>
        <v>191036.33026259011</v>
      </c>
      <c r="T12" s="17">
        <f>Data!T11+Data!T12</f>
        <v>198300.53029936977</v>
      </c>
      <c r="U12" s="17">
        <f>Data!U11+Data!U12</f>
        <v>205871.63281542892</v>
      </c>
      <c r="V12" s="17">
        <f>Data!V11+Data!V12</f>
        <v>213763.14862449959</v>
      </c>
      <c r="W12" s="17">
        <f>Data!W11+Data!W12</f>
        <v>221989.19202996406</v>
      </c>
      <c r="X12" s="17">
        <f>Data!X11+Data!X12</f>
        <v>230564.50791443489</v>
      </c>
      <c r="Y12" s="17">
        <f>Data!Y11+Data!Y12</f>
        <v>239504.50004735374</v>
      </c>
      <c r="Z12" s="17">
        <f>Data!Z11+Data!Z12</f>
        <v>248825.26066540548</v>
      </c>
      <c r="AA12" s="17">
        <f>Data!AA11+Data!AA12</f>
        <v>258543.60138300835</v>
      </c>
      <c r="AB12" s="17">
        <f>Data!AB11+Data!AB12</f>
        <v>268677.08549271827</v>
      </c>
      <c r="AC12" s="17">
        <f>Data!AC11+Data!AC12</f>
        <v>279244.06171807722</v>
      </c>
      <c r="AD12" s="17">
        <f>Data!AD11+Data!AD12</f>
        <v>290263.69948425016</v>
      </c>
      <c r="AE12" s="17">
        <f>Data!AE11+Data!AE12</f>
        <v>301756.02577473375</v>
      </c>
      <c r="AF12" s="17">
        <f>Data!AF11+Data!AF12</f>
        <v>313741.96364549448</v>
      </c>
    </row>
    <row r="13" spans="1:32">
      <c r="B13" t="s">
        <v>2</v>
      </c>
      <c r="C13" s="3">
        <f>Data!C14</f>
        <v>0</v>
      </c>
      <c r="D13" s="34">
        <f>Data!D14</f>
        <v>0</v>
      </c>
      <c r="E13" s="34">
        <f>Data!E14</f>
        <v>0</v>
      </c>
      <c r="F13" s="34">
        <f>Data!F14</f>
        <v>0</v>
      </c>
      <c r="G13" s="34">
        <f>Data!G14</f>
        <v>0</v>
      </c>
      <c r="H13" s="34">
        <f>Data!H14</f>
        <v>20106</v>
      </c>
      <c r="I13" s="34">
        <f>Data!I14</f>
        <v>41205</v>
      </c>
      <c r="J13" s="34">
        <f>Data!J14</f>
        <v>42222.763500000001</v>
      </c>
      <c r="K13" s="34">
        <f>Data!K14</f>
        <v>43265.665758449999</v>
      </c>
      <c r="L13" s="34">
        <f>Data!L14</f>
        <v>44334.327702683717</v>
      </c>
      <c r="M13" s="34">
        <f>Data!M14</f>
        <v>45429.385596940003</v>
      </c>
      <c r="N13" s="34">
        <f>Data!N14</f>
        <v>46551.491421184423</v>
      </c>
      <c r="O13" s="34">
        <f>Data!O14</f>
        <v>47701.313259287679</v>
      </c>
      <c r="P13" s="34">
        <f>Data!P14</f>
        <v>48879.535696792082</v>
      </c>
      <c r="Q13" s="34">
        <f>Data!Q14</f>
        <v>50086.860228502846</v>
      </c>
      <c r="R13" s="34">
        <f>Data!R14</f>
        <v>51324.005676146866</v>
      </c>
      <c r="S13" s="34">
        <f>Data!S14</f>
        <v>52591.708616347692</v>
      </c>
      <c r="T13" s="34">
        <f>Data!T14</f>
        <v>53890.723819171479</v>
      </c>
      <c r="U13" s="34">
        <f>Data!U14</f>
        <v>55221.824697505013</v>
      </c>
      <c r="V13" s="34">
        <f>Data!V14</f>
        <v>56585.803767533391</v>
      </c>
      <c r="W13" s="34">
        <f>Data!W14</f>
        <v>57983.473120591465</v>
      </c>
      <c r="X13" s="34">
        <f>Data!X14</f>
        <v>59415.664906670077</v>
      </c>
      <c r="Y13" s="34">
        <f>Data!Y14</f>
        <v>60883.231829864832</v>
      </c>
      <c r="Z13" s="34">
        <f>Data!Z14</f>
        <v>62387.047656062496</v>
      </c>
      <c r="AA13" s="34">
        <f>Data!AA14</f>
        <v>63928.007733167236</v>
      </c>
      <c r="AB13" s="34">
        <f>Data!AB14</f>
        <v>65507.029524176469</v>
      </c>
      <c r="AC13" s="34">
        <f>Data!AC14</f>
        <v>67125.053153423622</v>
      </c>
      <c r="AD13" s="34">
        <f>Data!AD14</f>
        <v>68783.041966313191</v>
      </c>
      <c r="AE13" s="34">
        <f>Data!AE14</f>
        <v>70481.983102881131</v>
      </c>
      <c r="AF13" s="34">
        <f>Data!AF14</f>
        <v>72222.888085522296</v>
      </c>
    </row>
    <row r="14" spans="1:32">
      <c r="B14" t="s">
        <v>55</v>
      </c>
      <c r="C14" s="3">
        <f>Data!C15</f>
        <v>0</v>
      </c>
      <c r="D14" s="34">
        <f>Data!D15</f>
        <v>0</v>
      </c>
      <c r="E14" s="34">
        <f>Data!E15</f>
        <v>0</v>
      </c>
      <c r="F14" s="34">
        <f>Data!F15</f>
        <v>0</v>
      </c>
      <c r="G14" s="34">
        <f>Data!G15</f>
        <v>0</v>
      </c>
      <c r="H14" s="34">
        <f>Data!H15</f>
        <v>80000</v>
      </c>
      <c r="I14" s="34">
        <f>Data!I15</f>
        <v>80000</v>
      </c>
      <c r="J14" s="34">
        <f>Data!J15</f>
        <v>80000</v>
      </c>
      <c r="K14" s="34">
        <f>Data!K15</f>
        <v>80000</v>
      </c>
      <c r="L14" s="34">
        <f>Data!L15</f>
        <v>80000</v>
      </c>
      <c r="M14" s="34">
        <f>Data!M15</f>
        <v>80000</v>
      </c>
      <c r="N14" s="34">
        <f>Data!N15</f>
        <v>80000</v>
      </c>
      <c r="O14" s="34">
        <f>Data!O15</f>
        <v>80000</v>
      </c>
      <c r="P14" s="34">
        <f>Data!P15</f>
        <v>80000</v>
      </c>
      <c r="Q14" s="34">
        <f>Data!Q15</f>
        <v>80000</v>
      </c>
      <c r="R14" s="34">
        <f>Data!R15</f>
        <v>80000</v>
      </c>
      <c r="S14" s="34">
        <f>Data!S15</f>
        <v>80000</v>
      </c>
      <c r="T14" s="34">
        <f>Data!T15</f>
        <v>80000</v>
      </c>
      <c r="U14" s="34">
        <f>Data!U15</f>
        <v>80000</v>
      </c>
      <c r="V14" s="34">
        <f>Data!V15</f>
        <v>80000</v>
      </c>
      <c r="W14" s="34">
        <f>Data!W15</f>
        <v>80000</v>
      </c>
      <c r="X14" s="34">
        <f>Data!X15</f>
        <v>80000</v>
      </c>
      <c r="Y14" s="34">
        <f>Data!Y15</f>
        <v>80000</v>
      </c>
      <c r="Z14" s="34">
        <f>Data!Z15</f>
        <v>80000</v>
      </c>
      <c r="AA14" s="34">
        <f>Data!AA15</f>
        <v>80000</v>
      </c>
      <c r="AB14" s="34">
        <f>Data!AB15</f>
        <v>80000</v>
      </c>
      <c r="AC14" s="34">
        <f>Data!AC15</f>
        <v>80000</v>
      </c>
      <c r="AD14" s="34">
        <f>Data!AD15</f>
        <v>80000</v>
      </c>
      <c r="AE14" s="34">
        <f>Data!AE15</f>
        <v>80000</v>
      </c>
      <c r="AF14" s="34">
        <f>Data!AF15</f>
        <v>80000</v>
      </c>
    </row>
    <row r="15" spans="1:32">
      <c r="B15" t="s">
        <v>1</v>
      </c>
      <c r="C15" s="3">
        <f>Data!C13</f>
        <v>0</v>
      </c>
      <c r="D15" s="34">
        <f>Data!D13</f>
        <v>0</v>
      </c>
      <c r="E15" s="34">
        <f>Data!E13</f>
        <v>0</v>
      </c>
      <c r="F15" s="34">
        <f>Data!F13</f>
        <v>0</v>
      </c>
      <c r="G15" s="34">
        <f>Data!G13</f>
        <v>0</v>
      </c>
      <c r="H15" s="34">
        <f>Data!H13</f>
        <v>115419.45017883214</v>
      </c>
      <c r="I15" s="34">
        <f>Data!I13</f>
        <v>126558.32879818114</v>
      </c>
      <c r="J15" s="34">
        <f>Data!J13</f>
        <v>134089.01713872445</v>
      </c>
      <c r="K15" s="34">
        <f>Data!K13</f>
        <v>141882.09475912369</v>
      </c>
      <c r="L15" s="34">
        <f>Data!L13</f>
        <v>150110.19524438353</v>
      </c>
      <c r="M15" s="34">
        <f>Data!M13</f>
        <v>158802.83778081383</v>
      </c>
      <c r="N15" s="34">
        <f>Data!N13</f>
        <v>167984.69442420127</v>
      </c>
      <c r="O15" s="34">
        <f>Data!O13</f>
        <v>176843.02197758071</v>
      </c>
      <c r="P15" s="34">
        <f>Data!P13</f>
        <v>186992.73959559313</v>
      </c>
      <c r="Q15" s="34">
        <f>Data!Q13</f>
        <v>196731.08550367883</v>
      </c>
      <c r="R15" s="34">
        <f>Data!R13</f>
        <v>206856.64349677609</v>
      </c>
      <c r="S15" s="34">
        <f>Data!S13</f>
        <v>217417.73389716182</v>
      </c>
      <c r="T15" s="34">
        <f>Data!T13</f>
        <v>228421.99069345996</v>
      </c>
      <c r="U15" s="34">
        <f>Data!U13</f>
        <v>239872.03713979531</v>
      </c>
      <c r="V15" s="34">
        <f>Data!V13</f>
        <v>251766.56435911718</v>
      </c>
      <c r="W15" s="34">
        <f>Data!W13</f>
        <v>262314.88466568326</v>
      </c>
      <c r="X15" s="34">
        <f>Data!X13</f>
        <v>272930.73421379959</v>
      </c>
      <c r="Y15" s="34">
        <f>Data!Y13</f>
        <v>283669.32655327051</v>
      </c>
      <c r="Z15" s="34">
        <f>Data!Z13</f>
        <v>294482.87685795489</v>
      </c>
      <c r="AA15" s="34">
        <f>Data!AA13</f>
        <v>305303.25017627678</v>
      </c>
      <c r="AB15" s="34">
        <f>Data!AB13</f>
        <v>313272.41164673754</v>
      </c>
      <c r="AC15" s="34">
        <f>Data!AC13</f>
        <v>320552.07195854845</v>
      </c>
      <c r="AD15" s="34">
        <f>Data!AD13</f>
        <v>327216.80033685506</v>
      </c>
      <c r="AE15" s="34">
        <f>Data!AE13</f>
        <v>333133.63010062656</v>
      </c>
      <c r="AF15" s="34">
        <f>Data!AF13</f>
        <v>334408.57269746263</v>
      </c>
    </row>
    <row r="16" spans="1:32">
      <c r="B16" t="s">
        <v>63</v>
      </c>
      <c r="C16" s="6">
        <f>0</f>
        <v>0</v>
      </c>
      <c r="D16" s="6">
        <f>0</f>
        <v>0</v>
      </c>
      <c r="E16" s="6">
        <f>0</f>
        <v>0</v>
      </c>
      <c r="F16" s="6">
        <f>0</f>
        <v>0</v>
      </c>
      <c r="G16" s="6">
        <f>0</f>
        <v>0</v>
      </c>
      <c r="H16" s="6">
        <f>0</f>
        <v>0</v>
      </c>
      <c r="I16" s="6">
        <f>0</f>
        <v>0</v>
      </c>
      <c r="J16" s="6">
        <f>0</f>
        <v>0</v>
      </c>
      <c r="K16" s="6">
        <f>0</f>
        <v>0</v>
      </c>
      <c r="L16" s="6">
        <f>0</f>
        <v>0</v>
      </c>
      <c r="M16" s="6">
        <f>0</f>
        <v>0</v>
      </c>
      <c r="N16" s="6">
        <f>0</f>
        <v>0</v>
      </c>
      <c r="O16" s="6">
        <f>0</f>
        <v>0</v>
      </c>
      <c r="P16" s="6">
        <f>0</f>
        <v>0</v>
      </c>
      <c r="Q16" s="6">
        <f>0</f>
        <v>0</v>
      </c>
      <c r="R16" s="6">
        <f>0</f>
        <v>0</v>
      </c>
      <c r="S16" s="6">
        <f>0</f>
        <v>0</v>
      </c>
      <c r="T16" s="6">
        <f>0</f>
        <v>0</v>
      </c>
      <c r="U16" s="6">
        <f>0</f>
        <v>0</v>
      </c>
      <c r="V16" s="6">
        <f>0</f>
        <v>0</v>
      </c>
      <c r="W16" s="6">
        <f>0</f>
        <v>0</v>
      </c>
      <c r="X16" s="6">
        <f>0</f>
        <v>0</v>
      </c>
      <c r="Y16" s="6">
        <f>0</f>
        <v>0</v>
      </c>
      <c r="Z16" s="6">
        <f>0</f>
        <v>0</v>
      </c>
      <c r="AA16" s="6">
        <f>0</f>
        <v>0</v>
      </c>
      <c r="AB16" s="6">
        <f>0</f>
        <v>0</v>
      </c>
      <c r="AC16" s="6">
        <f>0</f>
        <v>0</v>
      </c>
      <c r="AD16" s="6">
        <f>0</f>
        <v>0</v>
      </c>
      <c r="AE16" s="6">
        <f>0</f>
        <v>0</v>
      </c>
      <c r="AF16" s="6">
        <f>0</f>
        <v>0</v>
      </c>
    </row>
    <row r="17" spans="1:3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32">
      <c r="B18" t="s">
        <v>3</v>
      </c>
      <c r="C18" s="6">
        <f t="shared" ref="C18:AF18" si="0">SUM(C10:C17)</f>
        <v>707500</v>
      </c>
      <c r="D18" s="6">
        <f t="shared" si="0"/>
        <v>714287.5</v>
      </c>
      <c r="E18" s="6">
        <f t="shared" si="0"/>
        <v>721319.6875</v>
      </c>
      <c r="F18" s="6">
        <f t="shared" si="0"/>
        <v>728605.9871875</v>
      </c>
      <c r="G18" s="6">
        <f t="shared" si="0"/>
        <v>736156.20381718758</v>
      </c>
      <c r="H18" s="6">
        <f t="shared" si="0"/>
        <v>343578.58079463686</v>
      </c>
      <c r="I18" s="6">
        <f t="shared" si="0"/>
        <v>380447.70208761847</v>
      </c>
      <c r="J18" s="6">
        <f t="shared" si="0"/>
        <v>393818.83529904665</v>
      </c>
      <c r="K18" s="6">
        <f t="shared" si="0"/>
        <v>407677.29547906353</v>
      </c>
      <c r="L18" s="6">
        <f t="shared" si="0"/>
        <v>422205.0697658991</v>
      </c>
      <c r="M18" s="6">
        <f t="shared" si="0"/>
        <v>437441.43532926915</v>
      </c>
      <c r="N18" s="6">
        <f t="shared" si="0"/>
        <v>453421.24446844275</v>
      </c>
      <c r="O18" s="6">
        <f t="shared" si="0"/>
        <v>469342.37511369248</v>
      </c>
      <c r="P18" s="6">
        <f t="shared" si="0"/>
        <v>486830.82788363175</v>
      </c>
      <c r="Q18" s="6">
        <f t="shared" si="0"/>
        <v>504195.40312379919</v>
      </c>
      <c r="R18" s="6">
        <f t="shared" si="0"/>
        <v>522246.74862993462</v>
      </c>
      <c r="S18" s="6">
        <f t="shared" si="0"/>
        <v>541045.77277609962</v>
      </c>
      <c r="T18" s="6">
        <f t="shared" si="0"/>
        <v>560613.24481200124</v>
      </c>
      <c r="U18" s="6">
        <f t="shared" si="0"/>
        <v>580965.49465272925</v>
      </c>
      <c r="V18" s="6">
        <f t="shared" si="0"/>
        <v>602115.51675115013</v>
      </c>
      <c r="W18" s="6">
        <f t="shared" si="0"/>
        <v>622287.54981623881</v>
      </c>
      <c r="X18" s="6">
        <f t="shared" si="0"/>
        <v>642910.90703490458</v>
      </c>
      <c r="Y18" s="6">
        <f t="shared" si="0"/>
        <v>664057.05843048915</v>
      </c>
      <c r="Z18" s="6">
        <f t="shared" si="0"/>
        <v>685695.18517942284</v>
      </c>
      <c r="AA18" s="6">
        <f t="shared" si="0"/>
        <v>707774.85929245234</v>
      </c>
      <c r="AB18" s="6">
        <f t="shared" si="0"/>
        <v>727456.52666363236</v>
      </c>
      <c r="AC18" s="6">
        <f t="shared" si="0"/>
        <v>746921.18683004938</v>
      </c>
      <c r="AD18" s="6">
        <f t="shared" si="0"/>
        <v>766263.54178741842</v>
      </c>
      <c r="AE18" s="6">
        <f t="shared" si="0"/>
        <v>785371.63897824148</v>
      </c>
      <c r="AF18" s="6">
        <f t="shared" si="0"/>
        <v>800373.4244284794</v>
      </c>
    </row>
    <row r="19" spans="1:3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32">
      <c r="A20" t="s">
        <v>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32">
      <c r="B21" t="s">
        <v>64</v>
      </c>
      <c r="C21" s="3">
        <f>Data!C34+Data!C45</f>
        <v>63850</v>
      </c>
      <c r="D21" s="34">
        <f>Data!D34+Data!D45</f>
        <v>65765.5</v>
      </c>
      <c r="E21" s="34">
        <f>Data!E34+Data!E45</f>
        <v>67738.464999999997</v>
      </c>
      <c r="F21" s="34">
        <f>Data!F34+Data!F45</f>
        <v>69770.618950000004</v>
      </c>
      <c r="G21" s="34">
        <f>Data!G34+Data!G45</f>
        <v>71863.737518499998</v>
      </c>
      <c r="H21" s="34">
        <f>Data!H34+Data!H45</f>
        <v>74019.649644054996</v>
      </c>
      <c r="I21" s="34">
        <f>Data!I34+Data!I45</f>
        <v>76240.239133376643</v>
      </c>
      <c r="J21" s="34">
        <f>Data!J34+Data!J45</f>
        <v>78527.446307377933</v>
      </c>
      <c r="K21" s="34">
        <f>Data!K34+Data!K45</f>
        <v>80883.26969659928</v>
      </c>
      <c r="L21" s="34">
        <f>Data!L34+Data!L45</f>
        <v>83309.767787497258</v>
      </c>
      <c r="M21" s="34">
        <f>Data!M34+Data!M45</f>
        <v>85809.06082112217</v>
      </c>
      <c r="N21" s="34">
        <f>Data!N34+Data!N45</f>
        <v>88383.332645755843</v>
      </c>
      <c r="O21" s="34">
        <f>Data!O34+Data!O45</f>
        <v>91034.832625128533</v>
      </c>
      <c r="P21" s="34">
        <f>Data!P34+Data!P45</f>
        <v>93765.877603882371</v>
      </c>
      <c r="Q21" s="34">
        <f>Data!Q34+Data!Q45</f>
        <v>96578.853931998819</v>
      </c>
      <c r="R21" s="34">
        <f>Data!R34+Data!R45</f>
        <v>99476.219549958798</v>
      </c>
      <c r="S21" s="34">
        <f>Data!S34+Data!S45</f>
        <v>102460.5061364576</v>
      </c>
      <c r="T21" s="34">
        <f>Data!T34+Data!T45</f>
        <v>105534.3213205513</v>
      </c>
      <c r="U21" s="34">
        <f>Data!U34+Data!U45</f>
        <v>108700.35096016785</v>
      </c>
      <c r="V21" s="34">
        <f>Data!V34+Data!V45</f>
        <v>111961.36148897285</v>
      </c>
      <c r="W21" s="34">
        <f>Data!W34+Data!W45</f>
        <v>115320.20233364208</v>
      </c>
      <c r="X21" s="34">
        <f>Data!X34+Data!X45</f>
        <v>118779.80840365135</v>
      </c>
      <c r="Y21" s="34">
        <f>Data!Y34+Data!Y45</f>
        <v>122343.20265576089</v>
      </c>
      <c r="Z21" s="34">
        <f>Data!Z34+Data!Z45</f>
        <v>126013.49873543368</v>
      </c>
      <c r="AA21" s="34">
        <f>Data!AA34+Data!AA45</f>
        <v>129793.90369749672</v>
      </c>
      <c r="AB21" s="34">
        <f>Data!AB34+Data!AB45</f>
        <v>133687.72080842161</v>
      </c>
      <c r="AC21" s="34">
        <f>Data!AC34+Data!AC45</f>
        <v>137698.35243267426</v>
      </c>
      <c r="AD21" s="34">
        <f>Data!AD34+Data!AD45</f>
        <v>141829.30300565451</v>
      </c>
      <c r="AE21" s="34">
        <f>Data!AE34+Data!AE45</f>
        <v>146084.1820958241</v>
      </c>
      <c r="AF21" s="34">
        <f>Data!AF34+Data!AF45</f>
        <v>150466.70755869886</v>
      </c>
    </row>
    <row r="22" spans="1:32">
      <c r="B22" t="s">
        <v>65</v>
      </c>
      <c r="C22" s="34">
        <f>Data!C42</f>
        <v>62600</v>
      </c>
      <c r="D22" s="34">
        <f>Data!D42</f>
        <v>63578</v>
      </c>
      <c r="E22" s="34">
        <f>Data!E42</f>
        <v>65181.34</v>
      </c>
      <c r="F22" s="34">
        <f>Data!F42</f>
        <v>66218.900200000004</v>
      </c>
      <c r="G22" s="34">
        <f>Data!G42</f>
        <v>67287.587205999997</v>
      </c>
      <c r="H22" s="34">
        <f>Data!H42</f>
        <v>16376.007408649999</v>
      </c>
      <c r="I22" s="34">
        <f>Data!I42</f>
        <v>16867.287630909501</v>
      </c>
      <c r="J22" s="34">
        <f>Data!J42</f>
        <v>17373.306259836783</v>
      </c>
      <c r="K22" s="34">
        <f>Data!K42</f>
        <v>17894.505447631891</v>
      </c>
      <c r="L22" s="34">
        <f>Data!L42</f>
        <v>18431.340611060848</v>
      </c>
      <c r="M22" s="34">
        <f>Data!M42</f>
        <v>18984.280829392672</v>
      </c>
      <c r="N22" s="34">
        <f>Data!N42</f>
        <v>19553.809254274453</v>
      </c>
      <c r="O22" s="34">
        <f>Data!O42</f>
        <v>20140.423531902685</v>
      </c>
      <c r="P22" s="34">
        <f>Data!P42</f>
        <v>20744.636237859766</v>
      </c>
      <c r="Q22" s="34">
        <f>Data!Q42</f>
        <v>21366.975324995561</v>
      </c>
      <c r="R22" s="34">
        <f>Data!R42</f>
        <v>22007.984584745427</v>
      </c>
      <c r="S22" s="34">
        <f>Data!S42</f>
        <v>22668.224122287789</v>
      </c>
      <c r="T22" s="34">
        <f>Data!T42</f>
        <v>23348.270845956424</v>
      </c>
      <c r="U22" s="34">
        <f>Data!U42</f>
        <v>24048.718971335114</v>
      </c>
      <c r="V22" s="34">
        <f>Data!V42</f>
        <v>24770.180540475165</v>
      </c>
      <c r="W22" s="34">
        <f>Data!W42</f>
        <v>25513.285956689419</v>
      </c>
      <c r="X22" s="34">
        <f>Data!X42</f>
        <v>26278.684535390101</v>
      </c>
      <c r="Y22" s="34">
        <f>Data!Y42</f>
        <v>27067.045071451808</v>
      </c>
      <c r="Z22" s="34">
        <f>Data!Z42</f>
        <v>27879.056423595364</v>
      </c>
      <c r="AA22" s="34">
        <f>Data!AA42</f>
        <v>28715.428116303221</v>
      </c>
      <c r="AB22" s="34">
        <f>Data!AB42</f>
        <v>29576.890959792316</v>
      </c>
      <c r="AC22" s="34">
        <f>Data!AC42</f>
        <v>30464.197688586086</v>
      </c>
      <c r="AD22" s="34">
        <f>Data!AD42</f>
        <v>31378.123619243666</v>
      </c>
      <c r="AE22" s="34">
        <f>Data!AE42</f>
        <v>32319.467327820974</v>
      </c>
      <c r="AF22" s="34">
        <f>Data!AF42</f>
        <v>33289.051347655608</v>
      </c>
    </row>
    <row r="23" spans="1:32">
      <c r="B23" t="s">
        <v>66</v>
      </c>
      <c r="C23" s="34">
        <f>Data!C37</f>
        <v>247000</v>
      </c>
      <c r="D23" s="34">
        <f>Data!D37</f>
        <v>254410</v>
      </c>
      <c r="E23" s="34">
        <f>Data!E37</f>
        <v>262042.3</v>
      </c>
      <c r="F23" s="34">
        <f>Data!F37</f>
        <v>269903.56900000002</v>
      </c>
      <c r="G23" s="34">
        <f>Data!G37</f>
        <v>278000.67606999999</v>
      </c>
      <c r="H23" s="34">
        <f>Data!H37</f>
        <v>120911.28889159999</v>
      </c>
      <c r="I23" s="34">
        <f>Data!I37</f>
        <v>124538.627558348</v>
      </c>
      <c r="J23" s="34">
        <f>Data!J37</f>
        <v>128274.78638509844</v>
      </c>
      <c r="K23" s="34">
        <f>Data!K37</f>
        <v>132123.02997665139</v>
      </c>
      <c r="L23" s="34">
        <f>Data!L37</f>
        <v>136086.72087595094</v>
      </c>
      <c r="M23" s="34">
        <f>Data!M37</f>
        <v>140169.32250222945</v>
      </c>
      <c r="N23" s="34">
        <f>Data!N37</f>
        <v>144374.40217729635</v>
      </c>
      <c r="O23" s="34">
        <f>Data!O37</f>
        <v>148705.63424261523</v>
      </c>
      <c r="P23" s="34">
        <f>Data!P37</f>
        <v>153166.80326989369</v>
      </c>
      <c r="Q23" s="34">
        <f>Data!Q37</f>
        <v>157761.80736799049</v>
      </c>
      <c r="R23" s="34">
        <f>Data!R37</f>
        <v>162494.66158903021</v>
      </c>
      <c r="S23" s="34">
        <f>Data!S37</f>
        <v>167369.5014367011</v>
      </c>
      <c r="T23" s="34">
        <f>Data!T37</f>
        <v>172390.58647980215</v>
      </c>
      <c r="U23" s="34">
        <f>Data!U37</f>
        <v>177562.3040741962</v>
      </c>
      <c r="V23" s="34">
        <f>Data!V37</f>
        <v>182889.17319642208</v>
      </c>
      <c r="W23" s="34">
        <f>Data!W37</f>
        <v>188375.84839231474</v>
      </c>
      <c r="X23" s="34">
        <f>Data!X37</f>
        <v>194027.12384408418</v>
      </c>
      <c r="Y23" s="34">
        <f>Data!Y37</f>
        <v>199847.93755940671</v>
      </c>
      <c r="Z23" s="34">
        <f>Data!Z37</f>
        <v>205843.3756861889</v>
      </c>
      <c r="AA23" s="34">
        <f>Data!AA37</f>
        <v>212018.67695677455</v>
      </c>
      <c r="AB23" s="34">
        <f>Data!AB37</f>
        <v>218379.23726547777</v>
      </c>
      <c r="AC23" s="34">
        <f>Data!AC37</f>
        <v>224930.61438344212</v>
      </c>
      <c r="AD23" s="34">
        <f>Data!AD37</f>
        <v>231678.53281494539</v>
      </c>
      <c r="AE23" s="34">
        <f>Data!AE37</f>
        <v>238628.88879939375</v>
      </c>
      <c r="AF23" s="34">
        <f>Data!AF37</f>
        <v>245787.75546337556</v>
      </c>
    </row>
    <row r="24" spans="1:32">
      <c r="B24" t="s">
        <v>67</v>
      </c>
      <c r="C24" s="34">
        <f>Data!C53</f>
        <v>25700</v>
      </c>
      <c r="D24" s="34">
        <f>Data!D53</f>
        <v>26471</v>
      </c>
      <c r="E24" s="34">
        <f>Data!E53</f>
        <v>27265.13</v>
      </c>
      <c r="F24" s="34">
        <f>Data!F53</f>
        <v>28083.083900000001</v>
      </c>
      <c r="G24" s="34">
        <f>Data!G53</f>
        <v>28925.576416999997</v>
      </c>
      <c r="H24" s="34">
        <f>Data!H53</f>
        <v>29793.343709509998</v>
      </c>
      <c r="I24" s="34">
        <f>Data!I53</f>
        <v>30687.144020795298</v>
      </c>
      <c r="J24" s="34">
        <f>Data!J53</f>
        <v>31607.758341419158</v>
      </c>
      <c r="K24" s="34">
        <f>Data!K53</f>
        <v>32555.99109166173</v>
      </c>
      <c r="L24" s="34">
        <f>Data!L53</f>
        <v>32924.621185345532</v>
      </c>
      <c r="M24" s="34">
        <f>Data!M53</f>
        <v>33322.551671011825</v>
      </c>
      <c r="N24" s="34">
        <f>Data!N53</f>
        <v>33750.114315744926</v>
      </c>
      <c r="O24" s="34">
        <f>Data!O53</f>
        <v>34207.667256981942</v>
      </c>
      <c r="P24" s="34">
        <f>Data!P53</f>
        <v>34695.595301103123</v>
      </c>
      <c r="Q24" s="34">
        <f>Data!Q53</f>
        <v>35214.310245755601</v>
      </c>
      <c r="R24" s="34">
        <f>Data!R53</f>
        <v>35764.251226179054</v>
      </c>
      <c r="S24" s="34">
        <f>Data!S53</f>
        <v>36345.885085823691</v>
      </c>
      <c r="T24" s="34">
        <f>Data!T53</f>
        <v>36959.706771571895</v>
      </c>
      <c r="U24" s="34">
        <f>Data!U53</f>
        <v>37606.239753897338</v>
      </c>
      <c r="V24" s="34">
        <f>Data!V53</f>
        <v>38286.036472317195</v>
      </c>
      <c r="W24" s="34">
        <f>Data!W53</f>
        <v>38999.678806515563</v>
      </c>
      <c r="X24" s="34">
        <f>Data!X53</f>
        <v>4650.7364292737411</v>
      </c>
      <c r="Y24" s="34">
        <f>Data!Y53</f>
        <v>4790.2585221519539</v>
      </c>
      <c r="Z24" s="34">
        <f>Data!Z53</f>
        <v>4933.966277816512</v>
      </c>
      <c r="AA24" s="34">
        <f>Data!AA53</f>
        <v>5081.9852661510067</v>
      </c>
      <c r="AB24" s="34">
        <f>Data!AB53</f>
        <v>5234.4448241355367</v>
      </c>
      <c r="AC24" s="34">
        <f>Data!AC53</f>
        <v>5391.4781688596031</v>
      </c>
      <c r="AD24" s="34">
        <f>Data!AD53</f>
        <v>5553.2225139253915</v>
      </c>
      <c r="AE24" s="34">
        <f>Data!AE53</f>
        <v>5719.8191893431522</v>
      </c>
      <c r="AF24" s="34">
        <f>Data!AF53</f>
        <v>5891.413765023447</v>
      </c>
    </row>
    <row r="25" spans="1:32">
      <c r="B25" t="s">
        <v>188</v>
      </c>
      <c r="C25" s="34">
        <f>Data!C54</f>
        <v>20000</v>
      </c>
      <c r="D25" s="34">
        <f>Data!D54</f>
        <v>20600</v>
      </c>
      <c r="E25" s="34">
        <f>Data!E54</f>
        <v>21218</v>
      </c>
      <c r="F25" s="34">
        <f>Data!F54</f>
        <v>21854.54</v>
      </c>
      <c r="G25" s="34">
        <f>Data!G54</f>
        <v>22510.176200000002</v>
      </c>
      <c r="H25" s="34">
        <f>Data!H54</f>
        <v>23185.481486000001</v>
      </c>
      <c r="I25" s="34">
        <f>Data!I54</f>
        <v>23881.04593058</v>
      </c>
      <c r="J25" s="34">
        <f>Data!J54</f>
        <v>24597.4773084974</v>
      </c>
      <c r="K25" s="34">
        <f>Data!K54</f>
        <v>25335.401627752322</v>
      </c>
      <c r="L25" s="34">
        <f>Data!L54</f>
        <v>26095.463676584892</v>
      </c>
      <c r="M25" s="34">
        <f>Data!M54</f>
        <v>26878.327586882438</v>
      </c>
      <c r="N25" s="34">
        <f>Data!N54</f>
        <v>27684.677414488913</v>
      </c>
      <c r="O25" s="34">
        <f>Data!O54</f>
        <v>28515.21773692358</v>
      </c>
      <c r="P25" s="34">
        <f>Data!P54</f>
        <v>29370.674269031286</v>
      </c>
      <c r="Q25" s="34">
        <f>Data!Q54</f>
        <v>30251.794497102223</v>
      </c>
      <c r="R25" s="34">
        <f>Data!R54</f>
        <v>31159.348332015288</v>
      </c>
      <c r="S25" s="34">
        <f>Data!S54</f>
        <v>32094.128781975745</v>
      </c>
      <c r="T25" s="34">
        <f>Data!T54</f>
        <v>33056.95264543502</v>
      </c>
      <c r="U25" s="34">
        <f>Data!U54</f>
        <v>34048.661224798074</v>
      </c>
      <c r="V25" s="34">
        <f>Data!V54</f>
        <v>35070.121061542013</v>
      </c>
      <c r="W25" s="34">
        <f>Data!W54</f>
        <v>36122.224693388271</v>
      </c>
      <c r="X25" s="34">
        <f>Data!X54</f>
        <v>10000</v>
      </c>
      <c r="Y25" s="34">
        <f>Data!Y54</f>
        <v>10300</v>
      </c>
      <c r="Z25" s="34">
        <f>Data!Z54</f>
        <v>10609</v>
      </c>
      <c r="AA25" s="34">
        <f>Data!AA54</f>
        <v>10927.27</v>
      </c>
      <c r="AB25" s="34">
        <f>Data!AB54</f>
        <v>11255.088100000001</v>
      </c>
      <c r="AC25" s="34">
        <f>Data!AC54</f>
        <v>11592.740743</v>
      </c>
      <c r="AD25" s="34">
        <f>Data!AD54</f>
        <v>11940.52296529</v>
      </c>
      <c r="AE25" s="34">
        <f>Data!AE54</f>
        <v>12298.7386542487</v>
      </c>
      <c r="AF25" s="34">
        <f>Data!AF54</f>
        <v>12667.700813876161</v>
      </c>
    </row>
    <row r="26" spans="1:32">
      <c r="B26" t="s">
        <v>30</v>
      </c>
      <c r="C26" s="52">
        <f>Data!C59</f>
        <v>23000</v>
      </c>
      <c r="D26" s="34">
        <f>Data!D59</f>
        <v>23690</v>
      </c>
      <c r="E26" s="34">
        <f>Data!E59</f>
        <v>24400.7</v>
      </c>
      <c r="F26" s="34">
        <f>Data!F59</f>
        <v>25132.721000000001</v>
      </c>
      <c r="G26" s="34">
        <f>Data!G59</f>
        <v>25886.70263</v>
      </c>
      <c r="H26" s="34">
        <f>Data!H59</f>
        <v>0</v>
      </c>
      <c r="I26" s="34">
        <f>Data!I59</f>
        <v>0</v>
      </c>
      <c r="J26" s="34">
        <f>Data!J59</f>
        <v>0</v>
      </c>
      <c r="K26" s="34">
        <f>Data!K59</f>
        <v>0</v>
      </c>
      <c r="L26" s="34">
        <f>Data!L59</f>
        <v>0</v>
      </c>
      <c r="M26" s="34">
        <f>Data!M59</f>
        <v>0</v>
      </c>
      <c r="N26" s="34">
        <f>Data!N59</f>
        <v>0</v>
      </c>
      <c r="O26" s="34">
        <f>Data!O59</f>
        <v>0</v>
      </c>
      <c r="P26" s="34">
        <f>Data!P59</f>
        <v>0</v>
      </c>
      <c r="Q26" s="34">
        <f>Data!Q59</f>
        <v>0</v>
      </c>
      <c r="R26" s="34">
        <f>Data!R59</f>
        <v>0</v>
      </c>
      <c r="S26" s="34">
        <f>Data!S59</f>
        <v>0</v>
      </c>
      <c r="T26" s="34">
        <f>Data!T59</f>
        <v>0</v>
      </c>
      <c r="U26" s="34">
        <f>Data!U59</f>
        <v>0</v>
      </c>
      <c r="V26" s="34">
        <f>Data!V59</f>
        <v>0</v>
      </c>
      <c r="W26" s="34">
        <f>Data!W59</f>
        <v>0</v>
      </c>
      <c r="X26" s="34">
        <f>Data!X59</f>
        <v>0</v>
      </c>
      <c r="Y26" s="34">
        <f>Data!Y59</f>
        <v>0</v>
      </c>
      <c r="Z26" s="34">
        <f>Data!Z59</f>
        <v>0</v>
      </c>
      <c r="AA26" s="34">
        <f>Data!AA59</f>
        <v>0</v>
      </c>
      <c r="AB26" s="34">
        <f>Data!AB59</f>
        <v>0</v>
      </c>
      <c r="AC26" s="34">
        <f>Data!AC59</f>
        <v>0</v>
      </c>
      <c r="AD26" s="34">
        <f>Data!AD59</f>
        <v>0</v>
      </c>
      <c r="AE26" s="34">
        <f>Data!AE59</f>
        <v>0</v>
      </c>
      <c r="AF26" s="34">
        <f>Data!AF59</f>
        <v>0</v>
      </c>
    </row>
    <row r="27" spans="1:32">
      <c r="B27" t="s">
        <v>189</v>
      </c>
      <c r="C27" s="34">
        <f>Data!C62</f>
        <v>14000</v>
      </c>
      <c r="D27" s="34">
        <f>Data!D62</f>
        <v>14420</v>
      </c>
      <c r="E27" s="34">
        <f>Data!E62</f>
        <v>14852.6</v>
      </c>
      <c r="F27" s="34">
        <f>Data!F62</f>
        <v>15298.178</v>
      </c>
      <c r="G27" s="34">
        <f>Data!G62</f>
        <v>15757.12334</v>
      </c>
      <c r="H27" s="34">
        <f>Data!H62</f>
        <v>16229.8370402</v>
      </c>
      <c r="I27" s="34">
        <f>Data!I62</f>
        <v>16716.732151405999</v>
      </c>
      <c r="J27" s="34">
        <f>Data!J62</f>
        <v>17218.23411594818</v>
      </c>
      <c r="K27" s="34">
        <f>Data!K62</f>
        <v>17734.781139426625</v>
      </c>
      <c r="L27" s="34">
        <f>Data!L62</f>
        <v>18266.824573609425</v>
      </c>
      <c r="M27" s="34">
        <f>Data!M62</f>
        <v>18814.829310817709</v>
      </c>
      <c r="N27" s="34">
        <f>Data!N62</f>
        <v>19379.274190142241</v>
      </c>
      <c r="O27" s="34">
        <f>Data!O62</f>
        <v>19960.652415846507</v>
      </c>
      <c r="P27" s="34">
        <f>Data!P62</f>
        <v>20559.471988321904</v>
      </c>
      <c r="Q27" s="34">
        <f>Data!Q62</f>
        <v>21176.256147971562</v>
      </c>
      <c r="R27" s="34">
        <f>Data!R62</f>
        <v>21811.543832410709</v>
      </c>
      <c r="S27" s="34">
        <f>Data!S62</f>
        <v>22465.89014738303</v>
      </c>
      <c r="T27" s="34">
        <f>Data!T62</f>
        <v>23139.86685180452</v>
      </c>
      <c r="U27" s="34">
        <f>Data!U62</f>
        <v>23834.062857358655</v>
      </c>
      <c r="V27" s="34">
        <f>Data!V62</f>
        <v>24549.084743079413</v>
      </c>
      <c r="W27" s="34">
        <f>Data!W62</f>
        <v>25285.557285371797</v>
      </c>
      <c r="X27" s="34">
        <f>Data!X62</f>
        <v>26044.12400393295</v>
      </c>
      <c r="Y27" s="34">
        <f>Data!Y62</f>
        <v>26825.447724050937</v>
      </c>
      <c r="Z27" s="34">
        <f>Data!Z62</f>
        <v>27630.211155772464</v>
      </c>
      <c r="AA27" s="34">
        <f>Data!AA62</f>
        <v>28459.117490445638</v>
      </c>
      <c r="AB27" s="34">
        <f>Data!AB62</f>
        <v>29312.891015159006</v>
      </c>
      <c r="AC27" s="34">
        <f>Data!AC62</f>
        <v>30192.277745613777</v>
      </c>
      <c r="AD27" s="34">
        <f>Data!AD62</f>
        <v>31098.046077982191</v>
      </c>
      <c r="AE27" s="34">
        <f>Data!AE62</f>
        <v>32030.987460321656</v>
      </c>
      <c r="AF27" s="34">
        <f>Data!AF62</f>
        <v>32991.917084131303</v>
      </c>
    </row>
    <row r="28" spans="1:32">
      <c r="B28" t="s">
        <v>68</v>
      </c>
      <c r="C28" s="34">
        <f>Data!C60</f>
        <v>25000</v>
      </c>
      <c r="D28" s="34">
        <f>Data!D60</f>
        <v>25750</v>
      </c>
      <c r="E28" s="34">
        <f>Data!E60</f>
        <v>26522.5</v>
      </c>
      <c r="F28" s="34">
        <f>Data!F60</f>
        <v>27318.174999999999</v>
      </c>
      <c r="G28" s="34">
        <f>Data!G60</f>
        <v>28137.720249999998</v>
      </c>
      <c r="H28" s="34">
        <f>Data!H60</f>
        <v>0</v>
      </c>
      <c r="I28" s="34">
        <f>Data!I60</f>
        <v>0</v>
      </c>
      <c r="J28" s="34">
        <f>Data!J60</f>
        <v>0</v>
      </c>
      <c r="K28" s="34">
        <f>Data!K60</f>
        <v>0</v>
      </c>
      <c r="L28" s="34">
        <f>Data!L60</f>
        <v>0</v>
      </c>
      <c r="M28" s="34">
        <f>Data!M60</f>
        <v>0</v>
      </c>
      <c r="N28" s="34">
        <f>Data!N60</f>
        <v>0</v>
      </c>
      <c r="O28" s="34">
        <f>Data!O60</f>
        <v>0</v>
      </c>
      <c r="P28" s="34">
        <f>Data!P60</f>
        <v>0</v>
      </c>
      <c r="Q28" s="34">
        <f>Data!Q60</f>
        <v>0</v>
      </c>
      <c r="R28" s="34">
        <f>Data!R60</f>
        <v>0</v>
      </c>
      <c r="S28" s="34">
        <f>Data!S60</f>
        <v>0</v>
      </c>
      <c r="T28" s="34">
        <f>Data!T60</f>
        <v>0</v>
      </c>
      <c r="U28" s="34">
        <f>Data!U60</f>
        <v>0</v>
      </c>
      <c r="V28" s="34">
        <f>Data!V60</f>
        <v>0</v>
      </c>
      <c r="W28" s="34">
        <f>Data!W60</f>
        <v>0</v>
      </c>
      <c r="X28" s="34">
        <f>Data!X60</f>
        <v>0</v>
      </c>
      <c r="Y28" s="34">
        <f>Data!Y60</f>
        <v>0</v>
      </c>
      <c r="Z28" s="34">
        <f>Data!Z60</f>
        <v>0</v>
      </c>
      <c r="AA28" s="34">
        <f>Data!AA60</f>
        <v>0</v>
      </c>
      <c r="AB28" s="34">
        <f>Data!AB60</f>
        <v>0</v>
      </c>
      <c r="AC28" s="34">
        <f>Data!AC60</f>
        <v>0</v>
      </c>
      <c r="AD28" s="34">
        <f>Data!AD60</f>
        <v>0</v>
      </c>
      <c r="AE28" s="34">
        <f>Data!AE60</f>
        <v>0</v>
      </c>
      <c r="AF28" s="34">
        <f>Data!AF60</f>
        <v>0</v>
      </c>
    </row>
    <row r="29" spans="1:32">
      <c r="B29" t="s">
        <v>69</v>
      </c>
      <c r="C29" s="34">
        <f>Data!C57+Data!C61</f>
        <v>26000</v>
      </c>
      <c r="D29" s="34">
        <f>Data!D57+Data!D61</f>
        <v>26780</v>
      </c>
      <c r="E29" s="34">
        <f>Data!E57+Data!E61</f>
        <v>27583.4</v>
      </c>
      <c r="F29" s="34">
        <f>Data!F57+Data!F61</f>
        <v>28410.902000000002</v>
      </c>
      <c r="G29" s="34">
        <f>Data!G57+Data!G61</f>
        <v>29263.229060000001</v>
      </c>
      <c r="H29" s="34">
        <f>Data!H57+Data!H61</f>
        <v>23185.481486000001</v>
      </c>
      <c r="I29" s="34">
        <f>Data!I57+Data!I61</f>
        <v>23881.04593058</v>
      </c>
      <c r="J29" s="34">
        <f>Data!J57+Data!J61</f>
        <v>24597.4773084974</v>
      </c>
      <c r="K29" s="34">
        <f>Data!K57+Data!K61</f>
        <v>25335.401627752322</v>
      </c>
      <c r="L29" s="34">
        <f>Data!L57+Data!L61</f>
        <v>26095.463676584892</v>
      </c>
      <c r="M29" s="34">
        <f>Data!M57+Data!M61</f>
        <v>26878.327586882438</v>
      </c>
      <c r="N29" s="34">
        <f>Data!N57+Data!N61</f>
        <v>27684.677414488913</v>
      </c>
      <c r="O29" s="34">
        <f>Data!O57+Data!O61</f>
        <v>28515.21773692358</v>
      </c>
      <c r="P29" s="34">
        <f>Data!P57+Data!P61</f>
        <v>29370.674269031286</v>
      </c>
      <c r="Q29" s="34">
        <f>Data!Q57+Data!Q61</f>
        <v>30251.794497102223</v>
      </c>
      <c r="R29" s="34">
        <f>Data!R57+Data!R61</f>
        <v>31159.348332015288</v>
      </c>
      <c r="S29" s="34">
        <f>Data!S57+Data!S61</f>
        <v>32094.128781975745</v>
      </c>
      <c r="T29" s="34">
        <f>Data!T57+Data!T61</f>
        <v>33056.95264543502</v>
      </c>
      <c r="U29" s="34">
        <f>Data!U57+Data!U61</f>
        <v>34048.661224798074</v>
      </c>
      <c r="V29" s="34">
        <f>Data!V57+Data!V61</f>
        <v>35070.121061542013</v>
      </c>
      <c r="W29" s="34">
        <f>Data!W57+Data!W61</f>
        <v>36122.224693388271</v>
      </c>
      <c r="X29" s="34">
        <f>Data!X57+Data!X61</f>
        <v>37205.891434189922</v>
      </c>
      <c r="Y29" s="34">
        <f>Data!Y57+Data!Y61</f>
        <v>38322.068177215617</v>
      </c>
      <c r="Z29" s="34">
        <f>Data!Z57+Data!Z61</f>
        <v>39471.730222532082</v>
      </c>
      <c r="AA29" s="34">
        <f>Data!AA57+Data!AA61</f>
        <v>40655.882129208047</v>
      </c>
      <c r="AB29" s="34">
        <f>Data!AB57+Data!AB61</f>
        <v>41875.558593084286</v>
      </c>
      <c r="AC29" s="34">
        <f>Data!AC57+Data!AC61</f>
        <v>43131.825350876818</v>
      </c>
      <c r="AD29" s="34">
        <f>Data!AD57+Data!AD61</f>
        <v>44425.780111403124</v>
      </c>
      <c r="AE29" s="34">
        <f>Data!AE57+Data!AE61</f>
        <v>45758.553514745217</v>
      </c>
      <c r="AF29" s="34">
        <f>Data!AF57+Data!AF61</f>
        <v>47131.310120187576</v>
      </c>
    </row>
    <row r="30" spans="1:32">
      <c r="B30" t="s">
        <v>8</v>
      </c>
      <c r="C30" s="6">
        <f>Data!C58</f>
        <v>10000</v>
      </c>
      <c r="D30" s="6">
        <f>Data!D58</f>
        <v>10300</v>
      </c>
      <c r="E30" s="6">
        <f>Data!E58</f>
        <v>10609</v>
      </c>
      <c r="F30" s="6">
        <f>Data!F58</f>
        <v>10927.27</v>
      </c>
      <c r="G30" s="6">
        <f>Data!G58</f>
        <v>11255.088100000001</v>
      </c>
      <c r="H30" s="6">
        <f>Data!H58</f>
        <v>11592.740743</v>
      </c>
      <c r="I30" s="6">
        <f>Data!I58</f>
        <v>11940.52296529</v>
      </c>
      <c r="J30" s="6">
        <f>Data!J58</f>
        <v>12298.7386542487</v>
      </c>
      <c r="K30" s="6">
        <f>Data!K58</f>
        <v>12667.700813876161</v>
      </c>
      <c r="L30" s="6">
        <f>Data!L58</f>
        <v>13047.731838292446</v>
      </c>
      <c r="M30" s="6">
        <f>Data!M58</f>
        <v>13439.163793441219</v>
      </c>
      <c r="N30" s="6">
        <f>Data!N58</f>
        <v>13842.338707244457</v>
      </c>
      <c r="O30" s="6">
        <f>Data!O58</f>
        <v>14257.60886846179</v>
      </c>
      <c r="P30" s="6">
        <f>Data!P58</f>
        <v>14685.337134515643</v>
      </c>
      <c r="Q30" s="6">
        <f>Data!Q58</f>
        <v>15125.897248551111</v>
      </c>
      <c r="R30" s="6">
        <f>Data!R58</f>
        <v>15579.674166007644</v>
      </c>
      <c r="S30" s="6">
        <f>Data!S58</f>
        <v>16047.064390987873</v>
      </c>
      <c r="T30" s="6">
        <f>Data!T58</f>
        <v>16528.47632271751</v>
      </c>
      <c r="U30" s="6">
        <f>Data!U58</f>
        <v>17024.330612399037</v>
      </c>
      <c r="V30" s="6">
        <f>Data!V58</f>
        <v>17535.060530771007</v>
      </c>
      <c r="W30" s="6">
        <f>Data!W58</f>
        <v>18061.112346694135</v>
      </c>
      <c r="X30" s="6">
        <f>Data!X58</f>
        <v>18602.945717094961</v>
      </c>
      <c r="Y30" s="6">
        <f>Data!Y58</f>
        <v>19161.034088607808</v>
      </c>
      <c r="Z30" s="6">
        <f>Data!Z58</f>
        <v>19735.865111266041</v>
      </c>
      <c r="AA30" s="6">
        <f>Data!AA58</f>
        <v>20327.941064604023</v>
      </c>
      <c r="AB30" s="6">
        <f>Data!AB58</f>
        <v>20937.779296542143</v>
      </c>
      <c r="AC30" s="6">
        <f>Data!AC58</f>
        <v>21565.912675438409</v>
      </c>
      <c r="AD30" s="6">
        <f>Data!AD58</f>
        <v>22212.890055701562</v>
      </c>
      <c r="AE30" s="6">
        <f>Data!AE58</f>
        <v>22879.276757372609</v>
      </c>
      <c r="AF30" s="6">
        <f>Data!AF58</f>
        <v>23565.655060093788</v>
      </c>
    </row>
    <row r="31" spans="1:3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32">
      <c r="B32" t="s">
        <v>9</v>
      </c>
      <c r="C32" s="6">
        <f>SUM(C21:C31)</f>
        <v>517150</v>
      </c>
      <c r="D32" s="6">
        <f t="shared" ref="D32:AF32" si="1">SUM(D21:D31)</f>
        <v>531764.5</v>
      </c>
      <c r="E32" s="6">
        <f t="shared" si="1"/>
        <v>547413.43499999994</v>
      </c>
      <c r="F32" s="6">
        <f t="shared" si="1"/>
        <v>562917.95805000002</v>
      </c>
      <c r="G32" s="6">
        <f t="shared" si="1"/>
        <v>578887.61679150001</v>
      </c>
      <c r="H32" s="6">
        <f t="shared" si="1"/>
        <v>315293.830409015</v>
      </c>
      <c r="I32" s="6">
        <f t="shared" si="1"/>
        <v>324752.64532128547</v>
      </c>
      <c r="J32" s="6">
        <f t="shared" si="1"/>
        <v>334495.22468092403</v>
      </c>
      <c r="K32" s="6">
        <f t="shared" si="1"/>
        <v>344530.08142135182</v>
      </c>
      <c r="L32" s="6">
        <f t="shared" si="1"/>
        <v>354257.93422492617</v>
      </c>
      <c r="M32" s="6">
        <f t="shared" si="1"/>
        <v>364295.86410177994</v>
      </c>
      <c r="N32" s="6">
        <f t="shared" si="1"/>
        <v>374652.62611943611</v>
      </c>
      <c r="O32" s="6">
        <f t="shared" si="1"/>
        <v>385337.25441478391</v>
      </c>
      <c r="P32" s="6">
        <f t="shared" si="1"/>
        <v>396359.07007363904</v>
      </c>
      <c r="Q32" s="6">
        <f t="shared" si="1"/>
        <v>407727.6892614676</v>
      </c>
      <c r="R32" s="6">
        <f t="shared" si="1"/>
        <v>419453.03161236242</v>
      </c>
      <c r="S32" s="6">
        <f t="shared" si="1"/>
        <v>431545.32888359262</v>
      </c>
      <c r="T32" s="6">
        <f t="shared" si="1"/>
        <v>444015.13388327381</v>
      </c>
      <c r="U32" s="6">
        <f t="shared" si="1"/>
        <v>456873.32967895037</v>
      </c>
      <c r="V32" s="6">
        <f t="shared" si="1"/>
        <v>470131.13909512176</v>
      </c>
      <c r="W32" s="6">
        <f t="shared" si="1"/>
        <v>483800.1345080043</v>
      </c>
      <c r="X32" s="6">
        <f t="shared" si="1"/>
        <v>435589.31436761725</v>
      </c>
      <c r="Y32" s="6">
        <f t="shared" si="1"/>
        <v>448656.9937986458</v>
      </c>
      <c r="Z32" s="6">
        <f t="shared" si="1"/>
        <v>462116.70361260494</v>
      </c>
      <c r="AA32" s="6">
        <f t="shared" si="1"/>
        <v>475980.20472098322</v>
      </c>
      <c r="AB32" s="6">
        <f t="shared" si="1"/>
        <v>490259.61086261267</v>
      </c>
      <c r="AC32" s="6">
        <f t="shared" si="1"/>
        <v>504967.39918849105</v>
      </c>
      <c r="AD32" s="6">
        <f t="shared" si="1"/>
        <v>520116.42116414581</v>
      </c>
      <c r="AE32" s="6">
        <f t="shared" si="1"/>
        <v>535719.91379907017</v>
      </c>
      <c r="AF32" s="6">
        <f t="shared" si="1"/>
        <v>551791.51121304231</v>
      </c>
    </row>
    <row r="33" spans="1:3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32" ht="15" thickBot="1">
      <c r="A34" t="s">
        <v>10</v>
      </c>
      <c r="C34" s="7">
        <f t="shared" ref="C34:AF34" si="2">C18-C32</f>
        <v>190350</v>
      </c>
      <c r="D34" s="7">
        <f t="shared" si="2"/>
        <v>182523</v>
      </c>
      <c r="E34" s="7">
        <f t="shared" si="2"/>
        <v>173906.25250000006</v>
      </c>
      <c r="F34" s="7">
        <f t="shared" si="2"/>
        <v>165688.02913749998</v>
      </c>
      <c r="G34" s="7">
        <f t="shared" si="2"/>
        <v>157268.58702568756</v>
      </c>
      <c r="H34" s="7">
        <f t="shared" si="2"/>
        <v>28284.750385621854</v>
      </c>
      <c r="I34" s="7">
        <f t="shared" si="2"/>
        <v>55695.056766333</v>
      </c>
      <c r="J34" s="7">
        <f t="shared" si="2"/>
        <v>59323.610618122621</v>
      </c>
      <c r="K34" s="7">
        <f t="shared" si="2"/>
        <v>63147.21405771171</v>
      </c>
      <c r="L34" s="7">
        <f t="shared" si="2"/>
        <v>67947.135540972929</v>
      </c>
      <c r="M34" s="7">
        <f t="shared" si="2"/>
        <v>73145.571227489214</v>
      </c>
      <c r="N34" s="7">
        <f t="shared" si="2"/>
        <v>78768.618349006632</v>
      </c>
      <c r="O34" s="7">
        <f t="shared" si="2"/>
        <v>84005.120698908577</v>
      </c>
      <c r="P34" s="7">
        <f t="shared" si="2"/>
        <v>90471.757809992705</v>
      </c>
      <c r="Q34" s="7">
        <f t="shared" si="2"/>
        <v>96467.713862331584</v>
      </c>
      <c r="R34" s="7">
        <f t="shared" si="2"/>
        <v>102793.7170175722</v>
      </c>
      <c r="S34" s="7">
        <f t="shared" si="2"/>
        <v>109500.443892507</v>
      </c>
      <c r="T34" s="7">
        <f t="shared" si="2"/>
        <v>116598.11092872743</v>
      </c>
      <c r="U34" s="7">
        <f t="shared" si="2"/>
        <v>124092.16497377888</v>
      </c>
      <c r="V34" s="7">
        <f t="shared" si="2"/>
        <v>131984.37765602837</v>
      </c>
      <c r="W34" s="7">
        <f t="shared" si="2"/>
        <v>138487.41530823451</v>
      </c>
      <c r="X34" s="7">
        <f t="shared" si="2"/>
        <v>207321.59266728733</v>
      </c>
      <c r="Y34" s="7">
        <f t="shared" si="2"/>
        <v>215400.06463184336</v>
      </c>
      <c r="Z34" s="7">
        <f t="shared" si="2"/>
        <v>223578.48156681791</v>
      </c>
      <c r="AA34" s="7">
        <f t="shared" si="2"/>
        <v>231794.65457146912</v>
      </c>
      <c r="AB34" s="7">
        <f t="shared" si="2"/>
        <v>237196.9158010197</v>
      </c>
      <c r="AC34" s="7">
        <f t="shared" si="2"/>
        <v>241953.78764155833</v>
      </c>
      <c r="AD34" s="7">
        <f t="shared" si="2"/>
        <v>246147.12062327261</v>
      </c>
      <c r="AE34" s="7">
        <f t="shared" si="2"/>
        <v>249651.72517917131</v>
      </c>
      <c r="AF34" s="7">
        <f t="shared" si="2"/>
        <v>248581.91321543709</v>
      </c>
    </row>
    <row r="35" spans="1:32" ht="15" thickTop="1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3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3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3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3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3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3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3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3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3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3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32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3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3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3:14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3:14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3:14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3:14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3:14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3:14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3:14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3:14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3:14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3:14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3:14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3:1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3:14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3:14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</sheetData>
  <pageMargins left="0.7" right="0.7" top="0.75" bottom="0.75" header="0.3" footer="0.3"/>
  <pageSetup fitToWidth="2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zoomScale="110" zoomScaleNormal="110" zoomScalePageLayoutView="110" workbookViewId="0">
      <selection activeCell="A5" sqref="A5"/>
    </sheetView>
  </sheetViews>
  <sheetFormatPr baseColWidth="10" defaultColWidth="8.83203125" defaultRowHeight="14" x14ac:dyDescent="0"/>
  <cols>
    <col min="1" max="1" width="3.6640625" customWidth="1"/>
    <col min="2" max="2" width="29" customWidth="1"/>
    <col min="3" max="3" width="9.1640625" customWidth="1"/>
    <col min="4" max="4" width="5.1640625" style="33" customWidth="1"/>
    <col min="5" max="5" width="13.33203125" bestFit="1" customWidth="1"/>
    <col min="6" max="6" width="13.33203125" hidden="1" customWidth="1"/>
    <col min="7" max="8" width="13.83203125" hidden="1" customWidth="1"/>
    <col min="9" max="9" width="11.83203125" hidden="1" customWidth="1"/>
    <col min="10" max="10" width="12.5" bestFit="1" customWidth="1"/>
    <col min="11" max="14" width="13.83203125" hidden="1" customWidth="1"/>
    <col min="15" max="15" width="12.5" bestFit="1" customWidth="1"/>
    <col min="16" max="19" width="13.83203125" hidden="1" customWidth="1"/>
    <col min="20" max="20" width="13.83203125" bestFit="1" customWidth="1"/>
    <col min="21" max="23" width="13.83203125" hidden="1" customWidth="1"/>
    <col min="24" max="24" width="12.5" hidden="1" customWidth="1"/>
    <col min="25" max="25" width="12.5" bestFit="1" customWidth="1"/>
    <col min="26" max="27" width="13.83203125" hidden="1" customWidth="1"/>
    <col min="28" max="29" width="14.33203125" hidden="1" customWidth="1"/>
    <col min="30" max="30" width="12.5" bestFit="1" customWidth="1"/>
    <col min="31" max="31" width="14.33203125" hidden="1" customWidth="1"/>
    <col min="32" max="34" width="15.33203125" hidden="1" customWidth="1"/>
    <col min="254" max="254" width="3.6640625" customWidth="1"/>
    <col min="255" max="255" width="30.33203125" bestFit="1" customWidth="1"/>
    <col min="257" max="257" width="12.33203125" customWidth="1"/>
    <col min="258" max="264" width="11.33203125" customWidth="1"/>
    <col min="265" max="265" width="12.33203125" customWidth="1"/>
    <col min="266" max="271" width="11.33203125" customWidth="1"/>
    <col min="273" max="273" width="15" bestFit="1" customWidth="1"/>
    <col min="510" max="510" width="3.6640625" customWidth="1"/>
    <col min="511" max="511" width="30.33203125" bestFit="1" customWidth="1"/>
    <col min="513" max="513" width="12.33203125" customWidth="1"/>
    <col min="514" max="520" width="11.33203125" customWidth="1"/>
    <col min="521" max="521" width="12.33203125" customWidth="1"/>
    <col min="522" max="527" width="11.33203125" customWidth="1"/>
    <col min="529" max="529" width="15" bestFit="1" customWidth="1"/>
    <col min="766" max="766" width="3.6640625" customWidth="1"/>
    <col min="767" max="767" width="30.33203125" bestFit="1" customWidth="1"/>
    <col min="769" max="769" width="12.33203125" customWidth="1"/>
    <col min="770" max="776" width="11.33203125" customWidth="1"/>
    <col min="777" max="777" width="12.33203125" customWidth="1"/>
    <col min="778" max="783" width="11.33203125" customWidth="1"/>
    <col min="785" max="785" width="15" bestFit="1" customWidth="1"/>
    <col min="1022" max="1022" width="3.6640625" customWidth="1"/>
    <col min="1023" max="1023" width="30.33203125" bestFit="1" customWidth="1"/>
    <col min="1025" max="1025" width="12.33203125" customWidth="1"/>
    <col min="1026" max="1032" width="11.33203125" customWidth="1"/>
    <col min="1033" max="1033" width="12.33203125" customWidth="1"/>
    <col min="1034" max="1039" width="11.33203125" customWidth="1"/>
    <col min="1041" max="1041" width="15" bestFit="1" customWidth="1"/>
    <col min="1278" max="1278" width="3.6640625" customWidth="1"/>
    <col min="1279" max="1279" width="30.33203125" bestFit="1" customWidth="1"/>
    <col min="1281" max="1281" width="12.33203125" customWidth="1"/>
    <col min="1282" max="1288" width="11.33203125" customWidth="1"/>
    <col min="1289" max="1289" width="12.33203125" customWidth="1"/>
    <col min="1290" max="1295" width="11.33203125" customWidth="1"/>
    <col min="1297" max="1297" width="15" bestFit="1" customWidth="1"/>
    <col min="1534" max="1534" width="3.6640625" customWidth="1"/>
    <col min="1535" max="1535" width="30.33203125" bestFit="1" customWidth="1"/>
    <col min="1537" max="1537" width="12.33203125" customWidth="1"/>
    <col min="1538" max="1544" width="11.33203125" customWidth="1"/>
    <col min="1545" max="1545" width="12.33203125" customWidth="1"/>
    <col min="1546" max="1551" width="11.33203125" customWidth="1"/>
    <col min="1553" max="1553" width="15" bestFit="1" customWidth="1"/>
    <col min="1790" max="1790" width="3.6640625" customWidth="1"/>
    <col min="1791" max="1791" width="30.33203125" bestFit="1" customWidth="1"/>
    <col min="1793" max="1793" width="12.33203125" customWidth="1"/>
    <col min="1794" max="1800" width="11.33203125" customWidth="1"/>
    <col min="1801" max="1801" width="12.33203125" customWidth="1"/>
    <col min="1802" max="1807" width="11.33203125" customWidth="1"/>
    <col min="1809" max="1809" width="15" bestFit="1" customWidth="1"/>
    <col min="2046" max="2046" width="3.6640625" customWidth="1"/>
    <col min="2047" max="2047" width="30.33203125" bestFit="1" customWidth="1"/>
    <col min="2049" max="2049" width="12.33203125" customWidth="1"/>
    <col min="2050" max="2056" width="11.33203125" customWidth="1"/>
    <col min="2057" max="2057" width="12.33203125" customWidth="1"/>
    <col min="2058" max="2063" width="11.33203125" customWidth="1"/>
    <col min="2065" max="2065" width="15" bestFit="1" customWidth="1"/>
    <col min="2302" max="2302" width="3.6640625" customWidth="1"/>
    <col min="2303" max="2303" width="30.33203125" bestFit="1" customWidth="1"/>
    <col min="2305" max="2305" width="12.33203125" customWidth="1"/>
    <col min="2306" max="2312" width="11.33203125" customWidth="1"/>
    <col min="2313" max="2313" width="12.33203125" customWidth="1"/>
    <col min="2314" max="2319" width="11.33203125" customWidth="1"/>
    <col min="2321" max="2321" width="15" bestFit="1" customWidth="1"/>
    <col min="2558" max="2558" width="3.6640625" customWidth="1"/>
    <col min="2559" max="2559" width="30.33203125" bestFit="1" customWidth="1"/>
    <col min="2561" max="2561" width="12.33203125" customWidth="1"/>
    <col min="2562" max="2568" width="11.33203125" customWidth="1"/>
    <col min="2569" max="2569" width="12.33203125" customWidth="1"/>
    <col min="2570" max="2575" width="11.33203125" customWidth="1"/>
    <col min="2577" max="2577" width="15" bestFit="1" customWidth="1"/>
    <col min="2814" max="2814" width="3.6640625" customWidth="1"/>
    <col min="2815" max="2815" width="30.33203125" bestFit="1" customWidth="1"/>
    <col min="2817" max="2817" width="12.33203125" customWidth="1"/>
    <col min="2818" max="2824" width="11.33203125" customWidth="1"/>
    <col min="2825" max="2825" width="12.33203125" customWidth="1"/>
    <col min="2826" max="2831" width="11.33203125" customWidth="1"/>
    <col min="2833" max="2833" width="15" bestFit="1" customWidth="1"/>
    <col min="3070" max="3070" width="3.6640625" customWidth="1"/>
    <col min="3071" max="3071" width="30.33203125" bestFit="1" customWidth="1"/>
    <col min="3073" max="3073" width="12.33203125" customWidth="1"/>
    <col min="3074" max="3080" width="11.33203125" customWidth="1"/>
    <col min="3081" max="3081" width="12.33203125" customWidth="1"/>
    <col min="3082" max="3087" width="11.33203125" customWidth="1"/>
    <col min="3089" max="3089" width="15" bestFit="1" customWidth="1"/>
    <col min="3326" max="3326" width="3.6640625" customWidth="1"/>
    <col min="3327" max="3327" width="30.33203125" bestFit="1" customWidth="1"/>
    <col min="3329" max="3329" width="12.33203125" customWidth="1"/>
    <col min="3330" max="3336" width="11.33203125" customWidth="1"/>
    <col min="3337" max="3337" width="12.33203125" customWidth="1"/>
    <col min="3338" max="3343" width="11.33203125" customWidth="1"/>
    <col min="3345" max="3345" width="15" bestFit="1" customWidth="1"/>
    <col min="3582" max="3582" width="3.6640625" customWidth="1"/>
    <col min="3583" max="3583" width="30.33203125" bestFit="1" customWidth="1"/>
    <col min="3585" max="3585" width="12.33203125" customWidth="1"/>
    <col min="3586" max="3592" width="11.33203125" customWidth="1"/>
    <col min="3593" max="3593" width="12.33203125" customWidth="1"/>
    <col min="3594" max="3599" width="11.33203125" customWidth="1"/>
    <col min="3601" max="3601" width="15" bestFit="1" customWidth="1"/>
    <col min="3838" max="3838" width="3.6640625" customWidth="1"/>
    <col min="3839" max="3839" width="30.33203125" bestFit="1" customWidth="1"/>
    <col min="3841" max="3841" width="12.33203125" customWidth="1"/>
    <col min="3842" max="3848" width="11.33203125" customWidth="1"/>
    <col min="3849" max="3849" width="12.33203125" customWidth="1"/>
    <col min="3850" max="3855" width="11.33203125" customWidth="1"/>
    <col min="3857" max="3857" width="15" bestFit="1" customWidth="1"/>
    <col min="4094" max="4094" width="3.6640625" customWidth="1"/>
    <col min="4095" max="4095" width="30.33203125" bestFit="1" customWidth="1"/>
    <col min="4097" max="4097" width="12.33203125" customWidth="1"/>
    <col min="4098" max="4104" width="11.33203125" customWidth="1"/>
    <col min="4105" max="4105" width="12.33203125" customWidth="1"/>
    <col min="4106" max="4111" width="11.33203125" customWidth="1"/>
    <col min="4113" max="4113" width="15" bestFit="1" customWidth="1"/>
    <col min="4350" max="4350" width="3.6640625" customWidth="1"/>
    <col min="4351" max="4351" width="30.33203125" bestFit="1" customWidth="1"/>
    <col min="4353" max="4353" width="12.33203125" customWidth="1"/>
    <col min="4354" max="4360" width="11.33203125" customWidth="1"/>
    <col min="4361" max="4361" width="12.33203125" customWidth="1"/>
    <col min="4362" max="4367" width="11.33203125" customWidth="1"/>
    <col min="4369" max="4369" width="15" bestFit="1" customWidth="1"/>
    <col min="4606" max="4606" width="3.6640625" customWidth="1"/>
    <col min="4607" max="4607" width="30.33203125" bestFit="1" customWidth="1"/>
    <col min="4609" max="4609" width="12.33203125" customWidth="1"/>
    <col min="4610" max="4616" width="11.33203125" customWidth="1"/>
    <col min="4617" max="4617" width="12.33203125" customWidth="1"/>
    <col min="4618" max="4623" width="11.33203125" customWidth="1"/>
    <col min="4625" max="4625" width="15" bestFit="1" customWidth="1"/>
    <col min="4862" max="4862" width="3.6640625" customWidth="1"/>
    <col min="4863" max="4863" width="30.33203125" bestFit="1" customWidth="1"/>
    <col min="4865" max="4865" width="12.33203125" customWidth="1"/>
    <col min="4866" max="4872" width="11.33203125" customWidth="1"/>
    <col min="4873" max="4873" width="12.33203125" customWidth="1"/>
    <col min="4874" max="4879" width="11.33203125" customWidth="1"/>
    <col min="4881" max="4881" width="15" bestFit="1" customWidth="1"/>
    <col min="5118" max="5118" width="3.6640625" customWidth="1"/>
    <col min="5119" max="5119" width="30.33203125" bestFit="1" customWidth="1"/>
    <col min="5121" max="5121" width="12.33203125" customWidth="1"/>
    <col min="5122" max="5128" width="11.33203125" customWidth="1"/>
    <col min="5129" max="5129" width="12.33203125" customWidth="1"/>
    <col min="5130" max="5135" width="11.33203125" customWidth="1"/>
    <col min="5137" max="5137" width="15" bestFit="1" customWidth="1"/>
    <col min="5374" max="5374" width="3.6640625" customWidth="1"/>
    <col min="5375" max="5375" width="30.33203125" bestFit="1" customWidth="1"/>
    <col min="5377" max="5377" width="12.33203125" customWidth="1"/>
    <col min="5378" max="5384" width="11.33203125" customWidth="1"/>
    <col min="5385" max="5385" width="12.33203125" customWidth="1"/>
    <col min="5386" max="5391" width="11.33203125" customWidth="1"/>
    <col min="5393" max="5393" width="15" bestFit="1" customWidth="1"/>
    <col min="5630" max="5630" width="3.6640625" customWidth="1"/>
    <col min="5631" max="5631" width="30.33203125" bestFit="1" customWidth="1"/>
    <col min="5633" max="5633" width="12.33203125" customWidth="1"/>
    <col min="5634" max="5640" width="11.33203125" customWidth="1"/>
    <col min="5641" max="5641" width="12.33203125" customWidth="1"/>
    <col min="5642" max="5647" width="11.33203125" customWidth="1"/>
    <col min="5649" max="5649" width="15" bestFit="1" customWidth="1"/>
    <col min="5886" max="5886" width="3.6640625" customWidth="1"/>
    <col min="5887" max="5887" width="30.33203125" bestFit="1" customWidth="1"/>
    <col min="5889" max="5889" width="12.33203125" customWidth="1"/>
    <col min="5890" max="5896" width="11.33203125" customWidth="1"/>
    <col min="5897" max="5897" width="12.33203125" customWidth="1"/>
    <col min="5898" max="5903" width="11.33203125" customWidth="1"/>
    <col min="5905" max="5905" width="15" bestFit="1" customWidth="1"/>
    <col min="6142" max="6142" width="3.6640625" customWidth="1"/>
    <col min="6143" max="6143" width="30.33203125" bestFit="1" customWidth="1"/>
    <col min="6145" max="6145" width="12.33203125" customWidth="1"/>
    <col min="6146" max="6152" width="11.33203125" customWidth="1"/>
    <col min="6153" max="6153" width="12.33203125" customWidth="1"/>
    <col min="6154" max="6159" width="11.33203125" customWidth="1"/>
    <col min="6161" max="6161" width="15" bestFit="1" customWidth="1"/>
    <col min="6398" max="6398" width="3.6640625" customWidth="1"/>
    <col min="6399" max="6399" width="30.33203125" bestFit="1" customWidth="1"/>
    <col min="6401" max="6401" width="12.33203125" customWidth="1"/>
    <col min="6402" max="6408" width="11.33203125" customWidth="1"/>
    <col min="6409" max="6409" width="12.33203125" customWidth="1"/>
    <col min="6410" max="6415" width="11.33203125" customWidth="1"/>
    <col min="6417" max="6417" width="15" bestFit="1" customWidth="1"/>
    <col min="6654" max="6654" width="3.6640625" customWidth="1"/>
    <col min="6655" max="6655" width="30.33203125" bestFit="1" customWidth="1"/>
    <col min="6657" max="6657" width="12.33203125" customWidth="1"/>
    <col min="6658" max="6664" width="11.33203125" customWidth="1"/>
    <col min="6665" max="6665" width="12.33203125" customWidth="1"/>
    <col min="6666" max="6671" width="11.33203125" customWidth="1"/>
    <col min="6673" max="6673" width="15" bestFit="1" customWidth="1"/>
    <col min="6910" max="6910" width="3.6640625" customWidth="1"/>
    <col min="6911" max="6911" width="30.33203125" bestFit="1" customWidth="1"/>
    <col min="6913" max="6913" width="12.33203125" customWidth="1"/>
    <col min="6914" max="6920" width="11.33203125" customWidth="1"/>
    <col min="6921" max="6921" width="12.33203125" customWidth="1"/>
    <col min="6922" max="6927" width="11.33203125" customWidth="1"/>
    <col min="6929" max="6929" width="15" bestFit="1" customWidth="1"/>
    <col min="7166" max="7166" width="3.6640625" customWidth="1"/>
    <col min="7167" max="7167" width="30.33203125" bestFit="1" customWidth="1"/>
    <col min="7169" max="7169" width="12.33203125" customWidth="1"/>
    <col min="7170" max="7176" width="11.33203125" customWidth="1"/>
    <col min="7177" max="7177" width="12.33203125" customWidth="1"/>
    <col min="7178" max="7183" width="11.33203125" customWidth="1"/>
    <col min="7185" max="7185" width="15" bestFit="1" customWidth="1"/>
    <col min="7422" max="7422" width="3.6640625" customWidth="1"/>
    <col min="7423" max="7423" width="30.33203125" bestFit="1" customWidth="1"/>
    <col min="7425" max="7425" width="12.33203125" customWidth="1"/>
    <col min="7426" max="7432" width="11.33203125" customWidth="1"/>
    <col min="7433" max="7433" width="12.33203125" customWidth="1"/>
    <col min="7434" max="7439" width="11.33203125" customWidth="1"/>
    <col min="7441" max="7441" width="15" bestFit="1" customWidth="1"/>
    <col min="7678" max="7678" width="3.6640625" customWidth="1"/>
    <col min="7679" max="7679" width="30.33203125" bestFit="1" customWidth="1"/>
    <col min="7681" max="7681" width="12.33203125" customWidth="1"/>
    <col min="7682" max="7688" width="11.33203125" customWidth="1"/>
    <col min="7689" max="7689" width="12.33203125" customWidth="1"/>
    <col min="7690" max="7695" width="11.33203125" customWidth="1"/>
    <col min="7697" max="7697" width="15" bestFit="1" customWidth="1"/>
    <col min="7934" max="7934" width="3.6640625" customWidth="1"/>
    <col min="7935" max="7935" width="30.33203125" bestFit="1" customWidth="1"/>
    <col min="7937" max="7937" width="12.33203125" customWidth="1"/>
    <col min="7938" max="7944" width="11.33203125" customWidth="1"/>
    <col min="7945" max="7945" width="12.33203125" customWidth="1"/>
    <col min="7946" max="7951" width="11.33203125" customWidth="1"/>
    <col min="7953" max="7953" width="15" bestFit="1" customWidth="1"/>
    <col min="8190" max="8190" width="3.6640625" customWidth="1"/>
    <col min="8191" max="8191" width="30.33203125" bestFit="1" customWidth="1"/>
    <col min="8193" max="8193" width="12.33203125" customWidth="1"/>
    <col min="8194" max="8200" width="11.33203125" customWidth="1"/>
    <col min="8201" max="8201" width="12.33203125" customWidth="1"/>
    <col min="8202" max="8207" width="11.33203125" customWidth="1"/>
    <col min="8209" max="8209" width="15" bestFit="1" customWidth="1"/>
    <col min="8446" max="8446" width="3.6640625" customWidth="1"/>
    <col min="8447" max="8447" width="30.33203125" bestFit="1" customWidth="1"/>
    <col min="8449" max="8449" width="12.33203125" customWidth="1"/>
    <col min="8450" max="8456" width="11.33203125" customWidth="1"/>
    <col min="8457" max="8457" width="12.33203125" customWidth="1"/>
    <col min="8458" max="8463" width="11.33203125" customWidth="1"/>
    <col min="8465" max="8465" width="15" bestFit="1" customWidth="1"/>
    <col min="8702" max="8702" width="3.6640625" customWidth="1"/>
    <col min="8703" max="8703" width="30.33203125" bestFit="1" customWidth="1"/>
    <col min="8705" max="8705" width="12.33203125" customWidth="1"/>
    <col min="8706" max="8712" width="11.33203125" customWidth="1"/>
    <col min="8713" max="8713" width="12.33203125" customWidth="1"/>
    <col min="8714" max="8719" width="11.33203125" customWidth="1"/>
    <col min="8721" max="8721" width="15" bestFit="1" customWidth="1"/>
    <col min="8958" max="8958" width="3.6640625" customWidth="1"/>
    <col min="8959" max="8959" width="30.33203125" bestFit="1" customWidth="1"/>
    <col min="8961" max="8961" width="12.33203125" customWidth="1"/>
    <col min="8962" max="8968" width="11.33203125" customWidth="1"/>
    <col min="8969" max="8969" width="12.33203125" customWidth="1"/>
    <col min="8970" max="8975" width="11.33203125" customWidth="1"/>
    <col min="8977" max="8977" width="15" bestFit="1" customWidth="1"/>
    <col min="9214" max="9214" width="3.6640625" customWidth="1"/>
    <col min="9215" max="9215" width="30.33203125" bestFit="1" customWidth="1"/>
    <col min="9217" max="9217" width="12.33203125" customWidth="1"/>
    <col min="9218" max="9224" width="11.33203125" customWidth="1"/>
    <col min="9225" max="9225" width="12.33203125" customWidth="1"/>
    <col min="9226" max="9231" width="11.33203125" customWidth="1"/>
    <col min="9233" max="9233" width="15" bestFit="1" customWidth="1"/>
    <col min="9470" max="9470" width="3.6640625" customWidth="1"/>
    <col min="9471" max="9471" width="30.33203125" bestFit="1" customWidth="1"/>
    <col min="9473" max="9473" width="12.33203125" customWidth="1"/>
    <col min="9474" max="9480" width="11.33203125" customWidth="1"/>
    <col min="9481" max="9481" width="12.33203125" customWidth="1"/>
    <col min="9482" max="9487" width="11.33203125" customWidth="1"/>
    <col min="9489" max="9489" width="15" bestFit="1" customWidth="1"/>
    <col min="9726" max="9726" width="3.6640625" customWidth="1"/>
    <col min="9727" max="9727" width="30.33203125" bestFit="1" customWidth="1"/>
    <col min="9729" max="9729" width="12.33203125" customWidth="1"/>
    <col min="9730" max="9736" width="11.33203125" customWidth="1"/>
    <col min="9737" max="9737" width="12.33203125" customWidth="1"/>
    <col min="9738" max="9743" width="11.33203125" customWidth="1"/>
    <col min="9745" max="9745" width="15" bestFit="1" customWidth="1"/>
    <col min="9982" max="9982" width="3.6640625" customWidth="1"/>
    <col min="9983" max="9983" width="30.33203125" bestFit="1" customWidth="1"/>
    <col min="9985" max="9985" width="12.33203125" customWidth="1"/>
    <col min="9986" max="9992" width="11.33203125" customWidth="1"/>
    <col min="9993" max="9993" width="12.33203125" customWidth="1"/>
    <col min="9994" max="9999" width="11.33203125" customWidth="1"/>
    <col min="10001" max="10001" width="15" bestFit="1" customWidth="1"/>
    <col min="10238" max="10238" width="3.6640625" customWidth="1"/>
    <col min="10239" max="10239" width="30.33203125" bestFit="1" customWidth="1"/>
    <col min="10241" max="10241" width="12.33203125" customWidth="1"/>
    <col min="10242" max="10248" width="11.33203125" customWidth="1"/>
    <col min="10249" max="10249" width="12.33203125" customWidth="1"/>
    <col min="10250" max="10255" width="11.33203125" customWidth="1"/>
    <col min="10257" max="10257" width="15" bestFit="1" customWidth="1"/>
    <col min="10494" max="10494" width="3.6640625" customWidth="1"/>
    <col min="10495" max="10495" width="30.33203125" bestFit="1" customWidth="1"/>
    <col min="10497" max="10497" width="12.33203125" customWidth="1"/>
    <col min="10498" max="10504" width="11.33203125" customWidth="1"/>
    <col min="10505" max="10505" width="12.33203125" customWidth="1"/>
    <col min="10506" max="10511" width="11.33203125" customWidth="1"/>
    <col min="10513" max="10513" width="15" bestFit="1" customWidth="1"/>
    <col min="10750" max="10750" width="3.6640625" customWidth="1"/>
    <col min="10751" max="10751" width="30.33203125" bestFit="1" customWidth="1"/>
    <col min="10753" max="10753" width="12.33203125" customWidth="1"/>
    <col min="10754" max="10760" width="11.33203125" customWidth="1"/>
    <col min="10761" max="10761" width="12.33203125" customWidth="1"/>
    <col min="10762" max="10767" width="11.33203125" customWidth="1"/>
    <col min="10769" max="10769" width="15" bestFit="1" customWidth="1"/>
    <col min="11006" max="11006" width="3.6640625" customWidth="1"/>
    <col min="11007" max="11007" width="30.33203125" bestFit="1" customWidth="1"/>
    <col min="11009" max="11009" width="12.33203125" customWidth="1"/>
    <col min="11010" max="11016" width="11.33203125" customWidth="1"/>
    <col min="11017" max="11017" width="12.33203125" customWidth="1"/>
    <col min="11018" max="11023" width="11.33203125" customWidth="1"/>
    <col min="11025" max="11025" width="15" bestFit="1" customWidth="1"/>
    <col min="11262" max="11262" width="3.6640625" customWidth="1"/>
    <col min="11263" max="11263" width="30.33203125" bestFit="1" customWidth="1"/>
    <col min="11265" max="11265" width="12.33203125" customWidth="1"/>
    <col min="11266" max="11272" width="11.33203125" customWidth="1"/>
    <col min="11273" max="11273" width="12.33203125" customWidth="1"/>
    <col min="11274" max="11279" width="11.33203125" customWidth="1"/>
    <col min="11281" max="11281" width="15" bestFit="1" customWidth="1"/>
    <col min="11518" max="11518" width="3.6640625" customWidth="1"/>
    <col min="11519" max="11519" width="30.33203125" bestFit="1" customWidth="1"/>
    <col min="11521" max="11521" width="12.33203125" customWidth="1"/>
    <col min="11522" max="11528" width="11.33203125" customWidth="1"/>
    <col min="11529" max="11529" width="12.33203125" customWidth="1"/>
    <col min="11530" max="11535" width="11.33203125" customWidth="1"/>
    <col min="11537" max="11537" width="15" bestFit="1" customWidth="1"/>
    <col min="11774" max="11774" width="3.6640625" customWidth="1"/>
    <col min="11775" max="11775" width="30.33203125" bestFit="1" customWidth="1"/>
    <col min="11777" max="11777" width="12.33203125" customWidth="1"/>
    <col min="11778" max="11784" width="11.33203125" customWidth="1"/>
    <col min="11785" max="11785" width="12.33203125" customWidth="1"/>
    <col min="11786" max="11791" width="11.33203125" customWidth="1"/>
    <col min="11793" max="11793" width="15" bestFit="1" customWidth="1"/>
    <col min="12030" max="12030" width="3.6640625" customWidth="1"/>
    <col min="12031" max="12031" width="30.33203125" bestFit="1" customWidth="1"/>
    <col min="12033" max="12033" width="12.33203125" customWidth="1"/>
    <col min="12034" max="12040" width="11.33203125" customWidth="1"/>
    <col min="12041" max="12041" width="12.33203125" customWidth="1"/>
    <col min="12042" max="12047" width="11.33203125" customWidth="1"/>
    <col min="12049" max="12049" width="15" bestFit="1" customWidth="1"/>
    <col min="12286" max="12286" width="3.6640625" customWidth="1"/>
    <col min="12287" max="12287" width="30.33203125" bestFit="1" customWidth="1"/>
    <col min="12289" max="12289" width="12.33203125" customWidth="1"/>
    <col min="12290" max="12296" width="11.33203125" customWidth="1"/>
    <col min="12297" max="12297" width="12.33203125" customWidth="1"/>
    <col min="12298" max="12303" width="11.33203125" customWidth="1"/>
    <col min="12305" max="12305" width="15" bestFit="1" customWidth="1"/>
    <col min="12542" max="12542" width="3.6640625" customWidth="1"/>
    <col min="12543" max="12543" width="30.33203125" bestFit="1" customWidth="1"/>
    <col min="12545" max="12545" width="12.33203125" customWidth="1"/>
    <col min="12546" max="12552" width="11.33203125" customWidth="1"/>
    <col min="12553" max="12553" width="12.33203125" customWidth="1"/>
    <col min="12554" max="12559" width="11.33203125" customWidth="1"/>
    <col min="12561" max="12561" width="15" bestFit="1" customWidth="1"/>
    <col min="12798" max="12798" width="3.6640625" customWidth="1"/>
    <col min="12799" max="12799" width="30.33203125" bestFit="1" customWidth="1"/>
    <col min="12801" max="12801" width="12.33203125" customWidth="1"/>
    <col min="12802" max="12808" width="11.33203125" customWidth="1"/>
    <col min="12809" max="12809" width="12.33203125" customWidth="1"/>
    <col min="12810" max="12815" width="11.33203125" customWidth="1"/>
    <col min="12817" max="12817" width="15" bestFit="1" customWidth="1"/>
    <col min="13054" max="13054" width="3.6640625" customWidth="1"/>
    <col min="13055" max="13055" width="30.33203125" bestFit="1" customWidth="1"/>
    <col min="13057" max="13057" width="12.33203125" customWidth="1"/>
    <col min="13058" max="13064" width="11.33203125" customWidth="1"/>
    <col min="13065" max="13065" width="12.33203125" customWidth="1"/>
    <col min="13066" max="13071" width="11.33203125" customWidth="1"/>
    <col min="13073" max="13073" width="15" bestFit="1" customWidth="1"/>
    <col min="13310" max="13310" width="3.6640625" customWidth="1"/>
    <col min="13311" max="13311" width="30.33203125" bestFit="1" customWidth="1"/>
    <col min="13313" max="13313" width="12.33203125" customWidth="1"/>
    <col min="13314" max="13320" width="11.33203125" customWidth="1"/>
    <col min="13321" max="13321" width="12.33203125" customWidth="1"/>
    <col min="13322" max="13327" width="11.33203125" customWidth="1"/>
    <col min="13329" max="13329" width="15" bestFit="1" customWidth="1"/>
    <col min="13566" max="13566" width="3.6640625" customWidth="1"/>
    <col min="13567" max="13567" width="30.33203125" bestFit="1" customWidth="1"/>
    <col min="13569" max="13569" width="12.33203125" customWidth="1"/>
    <col min="13570" max="13576" width="11.33203125" customWidth="1"/>
    <col min="13577" max="13577" width="12.33203125" customWidth="1"/>
    <col min="13578" max="13583" width="11.33203125" customWidth="1"/>
    <col min="13585" max="13585" width="15" bestFit="1" customWidth="1"/>
    <col min="13822" max="13822" width="3.6640625" customWidth="1"/>
    <col min="13823" max="13823" width="30.33203125" bestFit="1" customWidth="1"/>
    <col min="13825" max="13825" width="12.33203125" customWidth="1"/>
    <col min="13826" max="13832" width="11.33203125" customWidth="1"/>
    <col min="13833" max="13833" width="12.33203125" customWidth="1"/>
    <col min="13834" max="13839" width="11.33203125" customWidth="1"/>
    <col min="13841" max="13841" width="15" bestFit="1" customWidth="1"/>
    <col min="14078" max="14078" width="3.6640625" customWidth="1"/>
    <col min="14079" max="14079" width="30.33203125" bestFit="1" customWidth="1"/>
    <col min="14081" max="14081" width="12.33203125" customWidth="1"/>
    <col min="14082" max="14088" width="11.33203125" customWidth="1"/>
    <col min="14089" max="14089" width="12.33203125" customWidth="1"/>
    <col min="14090" max="14095" width="11.33203125" customWidth="1"/>
    <col min="14097" max="14097" width="15" bestFit="1" customWidth="1"/>
    <col min="14334" max="14334" width="3.6640625" customWidth="1"/>
    <col min="14335" max="14335" width="30.33203125" bestFit="1" customWidth="1"/>
    <col min="14337" max="14337" width="12.33203125" customWidth="1"/>
    <col min="14338" max="14344" width="11.33203125" customWidth="1"/>
    <col min="14345" max="14345" width="12.33203125" customWidth="1"/>
    <col min="14346" max="14351" width="11.33203125" customWidth="1"/>
    <col min="14353" max="14353" width="15" bestFit="1" customWidth="1"/>
    <col min="14590" max="14590" width="3.6640625" customWidth="1"/>
    <col min="14591" max="14591" width="30.33203125" bestFit="1" customWidth="1"/>
    <col min="14593" max="14593" width="12.33203125" customWidth="1"/>
    <col min="14594" max="14600" width="11.33203125" customWidth="1"/>
    <col min="14601" max="14601" width="12.33203125" customWidth="1"/>
    <col min="14602" max="14607" width="11.33203125" customWidth="1"/>
    <col min="14609" max="14609" width="15" bestFit="1" customWidth="1"/>
    <col min="14846" max="14846" width="3.6640625" customWidth="1"/>
    <col min="14847" max="14847" width="30.33203125" bestFit="1" customWidth="1"/>
    <col min="14849" max="14849" width="12.33203125" customWidth="1"/>
    <col min="14850" max="14856" width="11.33203125" customWidth="1"/>
    <col min="14857" max="14857" width="12.33203125" customWidth="1"/>
    <col min="14858" max="14863" width="11.33203125" customWidth="1"/>
    <col min="14865" max="14865" width="15" bestFit="1" customWidth="1"/>
    <col min="15102" max="15102" width="3.6640625" customWidth="1"/>
    <col min="15103" max="15103" width="30.33203125" bestFit="1" customWidth="1"/>
    <col min="15105" max="15105" width="12.33203125" customWidth="1"/>
    <col min="15106" max="15112" width="11.33203125" customWidth="1"/>
    <col min="15113" max="15113" width="12.33203125" customWidth="1"/>
    <col min="15114" max="15119" width="11.33203125" customWidth="1"/>
    <col min="15121" max="15121" width="15" bestFit="1" customWidth="1"/>
    <col min="15358" max="15358" width="3.6640625" customWidth="1"/>
    <col min="15359" max="15359" width="30.33203125" bestFit="1" customWidth="1"/>
    <col min="15361" max="15361" width="12.33203125" customWidth="1"/>
    <col min="15362" max="15368" width="11.33203125" customWidth="1"/>
    <col min="15369" max="15369" width="12.33203125" customWidth="1"/>
    <col min="15370" max="15375" width="11.33203125" customWidth="1"/>
    <col min="15377" max="15377" width="15" bestFit="1" customWidth="1"/>
    <col min="15614" max="15614" width="3.6640625" customWidth="1"/>
    <col min="15615" max="15615" width="30.33203125" bestFit="1" customWidth="1"/>
    <col min="15617" max="15617" width="12.33203125" customWidth="1"/>
    <col min="15618" max="15624" width="11.33203125" customWidth="1"/>
    <col min="15625" max="15625" width="12.33203125" customWidth="1"/>
    <col min="15626" max="15631" width="11.33203125" customWidth="1"/>
    <col min="15633" max="15633" width="15" bestFit="1" customWidth="1"/>
    <col min="15870" max="15870" width="3.6640625" customWidth="1"/>
    <col min="15871" max="15871" width="30.33203125" bestFit="1" customWidth="1"/>
    <col min="15873" max="15873" width="12.33203125" customWidth="1"/>
    <col min="15874" max="15880" width="11.33203125" customWidth="1"/>
    <col min="15881" max="15881" width="12.33203125" customWidth="1"/>
    <col min="15882" max="15887" width="11.33203125" customWidth="1"/>
    <col min="15889" max="15889" width="15" bestFit="1" customWidth="1"/>
    <col min="16126" max="16126" width="3.6640625" customWidth="1"/>
    <col min="16127" max="16127" width="30.33203125" bestFit="1" customWidth="1"/>
    <col min="16129" max="16129" width="12.33203125" customWidth="1"/>
    <col min="16130" max="16136" width="11.33203125" customWidth="1"/>
    <col min="16137" max="16137" width="12.33203125" customWidth="1"/>
    <col min="16138" max="16143" width="11.33203125" customWidth="1"/>
    <col min="16145" max="16145" width="15" bestFit="1" customWidth="1"/>
  </cols>
  <sheetData>
    <row r="1" spans="1:35">
      <c r="A1" s="25" t="s">
        <v>204</v>
      </c>
    </row>
    <row r="2" spans="1:35">
      <c r="A2" s="25" t="s">
        <v>81</v>
      </c>
    </row>
    <row r="3" spans="1:35" s="33" customFormat="1">
      <c r="D3" s="22" t="s">
        <v>175</v>
      </c>
      <c r="E3" s="61">
        <v>65</v>
      </c>
      <c r="F3" s="21">
        <v>66</v>
      </c>
      <c r="G3" s="21">
        <v>67</v>
      </c>
      <c r="H3" s="21">
        <v>68</v>
      </c>
      <c r="I3" s="21">
        <v>69</v>
      </c>
      <c r="J3" s="61">
        <v>70</v>
      </c>
      <c r="K3" s="21">
        <v>71</v>
      </c>
      <c r="L3" s="21">
        <v>72</v>
      </c>
      <c r="M3" s="21">
        <v>73</v>
      </c>
      <c r="N3" s="21">
        <v>74</v>
      </c>
      <c r="O3" s="61">
        <v>75</v>
      </c>
      <c r="P3" s="21">
        <v>76</v>
      </c>
      <c r="Q3" s="21">
        <v>77</v>
      </c>
      <c r="R3" s="21">
        <v>78</v>
      </c>
      <c r="S3" s="21">
        <v>79</v>
      </c>
      <c r="T3" s="61">
        <v>80</v>
      </c>
      <c r="U3" s="21">
        <v>81</v>
      </c>
      <c r="V3" s="21">
        <v>82</v>
      </c>
      <c r="W3" s="21">
        <v>83</v>
      </c>
      <c r="X3" s="21">
        <v>84</v>
      </c>
      <c r="Y3" s="61">
        <v>85</v>
      </c>
      <c r="Z3" s="21">
        <v>86</v>
      </c>
      <c r="AA3" s="21">
        <v>87</v>
      </c>
      <c r="AB3" s="21">
        <v>88</v>
      </c>
      <c r="AC3" s="21">
        <v>89</v>
      </c>
      <c r="AD3" s="61">
        <v>90</v>
      </c>
      <c r="AE3" s="21">
        <v>91</v>
      </c>
      <c r="AF3" s="21">
        <v>92</v>
      </c>
      <c r="AG3" s="21">
        <v>93</v>
      </c>
      <c r="AH3" s="21">
        <v>94</v>
      </c>
    </row>
    <row r="4" spans="1:35" ht="13.5" customHeight="1">
      <c r="D4" s="22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>
        <v>91</v>
      </c>
      <c r="AF4" s="21">
        <v>92</v>
      </c>
      <c r="AG4" s="21">
        <v>93</v>
      </c>
      <c r="AH4" s="21">
        <v>94</v>
      </c>
    </row>
    <row r="5" spans="1:35">
      <c r="A5" s="29" t="s">
        <v>199</v>
      </c>
      <c r="B5" s="1"/>
      <c r="C5" s="1" t="s">
        <v>11</v>
      </c>
      <c r="D5" s="8"/>
      <c r="E5" s="1" t="s">
        <v>123</v>
      </c>
      <c r="F5" s="1" t="s">
        <v>124</v>
      </c>
      <c r="G5" s="1" t="s">
        <v>125</v>
      </c>
      <c r="H5" s="1" t="s">
        <v>126</v>
      </c>
      <c r="I5" s="1" t="s">
        <v>127</v>
      </c>
      <c r="J5" s="1" t="s">
        <v>128</v>
      </c>
      <c r="K5" s="1" t="s">
        <v>129</v>
      </c>
      <c r="L5" s="1" t="s">
        <v>130</v>
      </c>
      <c r="M5" s="1" t="s">
        <v>131</v>
      </c>
      <c r="N5" s="1" t="s">
        <v>132</v>
      </c>
      <c r="O5" s="1" t="s">
        <v>133</v>
      </c>
      <c r="P5" s="1" t="s">
        <v>134</v>
      </c>
      <c r="Q5" s="1" t="s">
        <v>135</v>
      </c>
      <c r="R5" s="1" t="s">
        <v>136</v>
      </c>
      <c r="S5" s="1" t="s">
        <v>137</v>
      </c>
      <c r="T5" s="1" t="s">
        <v>138</v>
      </c>
      <c r="U5" s="1" t="s">
        <v>139</v>
      </c>
      <c r="V5" s="1" t="s">
        <v>140</v>
      </c>
      <c r="W5" s="1" t="s">
        <v>141</v>
      </c>
      <c r="X5" s="1" t="s">
        <v>142</v>
      </c>
      <c r="Y5" s="1" t="s">
        <v>143</v>
      </c>
      <c r="Z5" s="1" t="s">
        <v>144</v>
      </c>
      <c r="AA5" s="1" t="s">
        <v>145</v>
      </c>
      <c r="AB5" s="1" t="s">
        <v>146</v>
      </c>
      <c r="AC5" s="1" t="s">
        <v>147</v>
      </c>
      <c r="AD5" s="1" t="s">
        <v>148</v>
      </c>
      <c r="AE5" s="1" t="s">
        <v>149</v>
      </c>
      <c r="AF5" s="1" t="s">
        <v>150</v>
      </c>
      <c r="AG5" s="1" t="s">
        <v>151</v>
      </c>
      <c r="AH5" s="1" t="s">
        <v>152</v>
      </c>
    </row>
    <row r="6" spans="1:35">
      <c r="A6" s="9" t="s">
        <v>177</v>
      </c>
      <c r="C6" s="53" t="s">
        <v>12</v>
      </c>
      <c r="D6" s="53"/>
    </row>
    <row r="7" spans="1:35">
      <c r="B7" t="s">
        <v>83</v>
      </c>
      <c r="C7" s="23">
        <v>0</v>
      </c>
      <c r="D7" s="23"/>
      <c r="E7" s="18">
        <v>200000</v>
      </c>
      <c r="F7" s="3">
        <f t="shared" ref="F7:AH7" si="0">E7</f>
        <v>200000</v>
      </c>
      <c r="G7" s="3">
        <f t="shared" si="0"/>
        <v>200000</v>
      </c>
      <c r="H7" s="3">
        <f t="shared" si="0"/>
        <v>200000</v>
      </c>
      <c r="I7" s="3">
        <f t="shared" si="0"/>
        <v>200000</v>
      </c>
      <c r="J7" s="3">
        <f t="shared" si="0"/>
        <v>200000</v>
      </c>
      <c r="K7" s="3">
        <f t="shared" si="0"/>
        <v>200000</v>
      </c>
      <c r="L7" s="3">
        <f t="shared" si="0"/>
        <v>200000</v>
      </c>
      <c r="M7" s="3">
        <f t="shared" si="0"/>
        <v>200000</v>
      </c>
      <c r="N7" s="3">
        <f t="shared" si="0"/>
        <v>200000</v>
      </c>
      <c r="O7" s="3">
        <f t="shared" si="0"/>
        <v>200000</v>
      </c>
      <c r="P7" s="3">
        <f t="shared" si="0"/>
        <v>200000</v>
      </c>
      <c r="Q7" s="3">
        <f t="shared" si="0"/>
        <v>200000</v>
      </c>
      <c r="R7" s="3">
        <f t="shared" si="0"/>
        <v>200000</v>
      </c>
      <c r="S7" s="3">
        <f t="shared" si="0"/>
        <v>200000</v>
      </c>
      <c r="T7" s="3">
        <f t="shared" si="0"/>
        <v>200000</v>
      </c>
      <c r="U7" s="3">
        <f t="shared" si="0"/>
        <v>200000</v>
      </c>
      <c r="V7" s="3">
        <f t="shared" si="0"/>
        <v>200000</v>
      </c>
      <c r="W7" s="3">
        <f t="shared" si="0"/>
        <v>200000</v>
      </c>
      <c r="X7" s="3">
        <f t="shared" si="0"/>
        <v>200000</v>
      </c>
      <c r="Y7" s="3">
        <f t="shared" si="0"/>
        <v>200000</v>
      </c>
      <c r="Z7" s="3">
        <f t="shared" si="0"/>
        <v>200000</v>
      </c>
      <c r="AA7" s="3">
        <f t="shared" si="0"/>
        <v>200000</v>
      </c>
      <c r="AB7" s="3">
        <f t="shared" si="0"/>
        <v>200000</v>
      </c>
      <c r="AC7" s="3">
        <f t="shared" si="0"/>
        <v>200000</v>
      </c>
      <c r="AD7" s="3">
        <f t="shared" si="0"/>
        <v>200000</v>
      </c>
      <c r="AE7" s="3">
        <f t="shared" si="0"/>
        <v>200000</v>
      </c>
      <c r="AF7" s="3">
        <f t="shared" si="0"/>
        <v>200000</v>
      </c>
      <c r="AG7" s="3">
        <f t="shared" si="0"/>
        <v>200000</v>
      </c>
      <c r="AH7" s="3">
        <f t="shared" si="0"/>
        <v>200000</v>
      </c>
    </row>
    <row r="8" spans="1:35" s="33" customFormat="1">
      <c r="B8" s="33" t="s">
        <v>19</v>
      </c>
      <c r="C8" s="23">
        <v>0</v>
      </c>
      <c r="D8" s="23"/>
      <c r="E8" s="18">
        <v>200000</v>
      </c>
      <c r="F8" s="18">
        <v>200000</v>
      </c>
      <c r="G8" s="18">
        <v>200000</v>
      </c>
      <c r="H8" s="18">
        <v>200000</v>
      </c>
      <c r="I8" s="18">
        <v>200000</v>
      </c>
      <c r="J8" s="18">
        <v>200000</v>
      </c>
      <c r="K8" s="18">
        <v>200000</v>
      </c>
      <c r="L8" s="18">
        <v>200000</v>
      </c>
      <c r="M8" s="18">
        <v>200000</v>
      </c>
      <c r="N8" s="18">
        <v>200000</v>
      </c>
      <c r="O8" s="18">
        <v>200000</v>
      </c>
      <c r="P8" s="18">
        <v>200000</v>
      </c>
      <c r="Q8" s="18">
        <v>200000</v>
      </c>
      <c r="R8" s="18">
        <v>200000</v>
      </c>
      <c r="S8" s="18">
        <v>200000</v>
      </c>
      <c r="T8" s="18">
        <v>200000</v>
      </c>
      <c r="U8" s="18">
        <v>200000</v>
      </c>
      <c r="V8" s="18">
        <v>200000</v>
      </c>
      <c r="W8" s="18">
        <v>200000</v>
      </c>
      <c r="X8" s="18">
        <v>200000</v>
      </c>
      <c r="Y8" s="18">
        <v>200000</v>
      </c>
      <c r="Z8" s="18">
        <v>200000</v>
      </c>
      <c r="AA8" s="18">
        <v>200000</v>
      </c>
      <c r="AB8" s="18">
        <v>200000</v>
      </c>
      <c r="AC8" s="18">
        <v>200000</v>
      </c>
      <c r="AD8" s="18">
        <v>200000</v>
      </c>
      <c r="AE8" s="18">
        <v>200000</v>
      </c>
      <c r="AF8" s="18">
        <v>200000</v>
      </c>
      <c r="AG8" s="18">
        <v>200000</v>
      </c>
      <c r="AH8" s="18">
        <v>200000</v>
      </c>
    </row>
    <row r="9" spans="1:35" hidden="1"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35" hidden="1">
      <c r="A10" s="9" t="s">
        <v>13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35">
      <c r="A11" s="9"/>
      <c r="B11" s="33" t="s">
        <v>174</v>
      </c>
      <c r="C11" s="23">
        <f>Assumptions!C12</f>
        <v>0.06</v>
      </c>
      <c r="D11" s="23"/>
      <c r="E11" s="34">
        <v>3500000</v>
      </c>
      <c r="F11" s="3">
        <f>(E11*$C$11)+E11+Data!C66</f>
        <v>3900350</v>
      </c>
      <c r="G11" s="34">
        <f>(F11*$C$11)+F11+Data!D66</f>
        <v>4316894</v>
      </c>
      <c r="H11" s="34">
        <f>(G11*$C$11)+G11+Data!E66</f>
        <v>4749813.8925000001</v>
      </c>
      <c r="I11" s="34">
        <f>(H11*$C$11)+H11+Data!F66</f>
        <v>5200490.7551874993</v>
      </c>
      <c r="J11" s="34">
        <f>(I11*$C$11)+I11+Data!G66</f>
        <v>5669788.7875244366</v>
      </c>
      <c r="K11" s="34">
        <f>(J11*$C$11)+J11+Data!H66</f>
        <v>6038260.8651615242</v>
      </c>
      <c r="L11" s="34">
        <f>(K11*$C$11)+K11+Data!I66</f>
        <v>6456251.5738375485</v>
      </c>
      <c r="M11" s="34">
        <f>(L11*$C$11)+L11+Data!J66</f>
        <v>6902950.2788859243</v>
      </c>
      <c r="N11" s="34">
        <f>(M11*$C$11)+M11+Data!K66</f>
        <v>7380274.5096767917</v>
      </c>
      <c r="O11" s="34">
        <f>(N11*$C$11)+N11+Data!L66</f>
        <v>7891038.1157983728</v>
      </c>
      <c r="P11" s="34">
        <f>(O11*$C$11)+O11+Data!M66</f>
        <v>8437645.9739737641</v>
      </c>
      <c r="Q11" s="34">
        <f>(P11*$C$11)+P11+Data!N66</f>
        <v>9022673.3507611956</v>
      </c>
      <c r="R11" s="34">
        <f>(Q11*$C$11)+Q11+Data!O66</f>
        <v>9648038.8725057747</v>
      </c>
      <c r="S11" s="34">
        <f>(R11*$C$11)+R11+Data!P66</f>
        <v>10317392.962666115</v>
      </c>
      <c r="T11" s="34">
        <f>(S11*$C$11)+S11+Data!Q66</f>
        <v>11032904.254288413</v>
      </c>
      <c r="U11" s="34">
        <f>(T11*$C$11)+T11+Data!R66</f>
        <v>11797672.22656329</v>
      </c>
      <c r="V11" s="34">
        <f>(U11*$C$11)+U11+Data!S66</f>
        <v>12615033.004049594</v>
      </c>
      <c r="W11" s="34">
        <f>(V11*$C$11)+V11+Data!T66</f>
        <v>13488533.095221296</v>
      </c>
      <c r="X11" s="34">
        <f>(W11*$C$11)+W11+Data!U66</f>
        <v>14421937.245908352</v>
      </c>
      <c r="Y11" s="34">
        <f>(X11*$C$11)+X11+Data!V66</f>
        <v>15419237.85831888</v>
      </c>
      <c r="Z11" s="34">
        <f>(Y11*$C$11)+Y11+Data!W66</f>
        <v>16482879.545126248</v>
      </c>
      <c r="AA11" s="34">
        <f>(Z11*$C$11)+Z11+Data!X66</f>
        <v>17679173.910501111</v>
      </c>
      <c r="AB11" s="34">
        <f>(AA11*$C$11)+AA11+Data!Y66</f>
        <v>18955324.40976302</v>
      </c>
      <c r="AC11" s="34">
        <f>(AB11*$C$11)+AB11+Data!Z66</f>
        <v>20316222.355915617</v>
      </c>
      <c r="AD11" s="34">
        <f>(AC11*$C$11)+AC11+Data!AA66</f>
        <v>21766990.351842023</v>
      </c>
      <c r="AE11" s="34">
        <f>(AD11*$C$11)+AD11+Data!AB66</f>
        <v>23310206.688753564</v>
      </c>
      <c r="AF11" s="34">
        <f>(AE11*$C$11)+AE11+Data!AC66</f>
        <v>24950772.877720337</v>
      </c>
      <c r="AG11" s="34">
        <f>(AF11*$C$11)+AF11+Data!AD66</f>
        <v>26693966.371006828</v>
      </c>
      <c r="AH11" s="34">
        <f>(AG11*$C$11)+AG11+Data!AE66</f>
        <v>28545256.078446411</v>
      </c>
    </row>
    <row r="12" spans="1:35" hidden="1">
      <c r="A12" s="9"/>
      <c r="C12" s="11"/>
      <c r="D12" s="11"/>
      <c r="E12" s="1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35" hidden="1">
      <c r="A13" s="9" t="s">
        <v>14</v>
      </c>
      <c r="C13" s="11"/>
      <c r="D13" s="1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35">
      <c r="A14" s="9"/>
      <c r="B14" t="s">
        <v>170</v>
      </c>
      <c r="C14" s="23">
        <v>0.03</v>
      </c>
      <c r="D14" s="23"/>
      <c r="E14" s="3">
        <v>1000000</v>
      </c>
      <c r="F14" s="3">
        <f>(E14*$C$14)+E14</f>
        <v>1030000</v>
      </c>
      <c r="G14" s="3">
        <f t="shared" ref="G14:AH14" si="1">(F14*$C$14)+F14</f>
        <v>1060900</v>
      </c>
      <c r="H14" s="3">
        <f t="shared" si="1"/>
        <v>1092727</v>
      </c>
      <c r="I14" s="3">
        <f t="shared" si="1"/>
        <v>1125508.81</v>
      </c>
      <c r="J14" s="3">
        <f t="shared" si="1"/>
        <v>1159274.0743</v>
      </c>
      <c r="K14" s="3">
        <f t="shared" si="1"/>
        <v>1194052.2965289999</v>
      </c>
      <c r="L14" s="3">
        <f t="shared" si="1"/>
        <v>1229873.8654248698</v>
      </c>
      <c r="M14" s="3">
        <f t="shared" si="1"/>
        <v>1266770.081387616</v>
      </c>
      <c r="N14" s="3">
        <f t="shared" si="1"/>
        <v>1304773.1838292445</v>
      </c>
      <c r="O14" s="3">
        <f t="shared" si="1"/>
        <v>1343916.3793441218</v>
      </c>
      <c r="P14" s="3">
        <f t="shared" si="1"/>
        <v>1384233.8707244454</v>
      </c>
      <c r="Q14" s="3">
        <f t="shared" si="1"/>
        <v>1425760.8868461789</v>
      </c>
      <c r="R14" s="3">
        <f t="shared" si="1"/>
        <v>1468533.7134515643</v>
      </c>
      <c r="S14" s="3">
        <f t="shared" si="1"/>
        <v>1512589.7248551112</v>
      </c>
      <c r="T14" s="3">
        <f t="shared" si="1"/>
        <v>1557967.4166007645</v>
      </c>
      <c r="U14" s="3">
        <f t="shared" si="1"/>
        <v>1604706.4390987875</v>
      </c>
      <c r="V14" s="3">
        <f t="shared" si="1"/>
        <v>1652847.6322717511</v>
      </c>
      <c r="W14" s="3">
        <f t="shared" si="1"/>
        <v>1702433.0612399036</v>
      </c>
      <c r="X14" s="3">
        <f t="shared" si="1"/>
        <v>1753506.0530771008</v>
      </c>
      <c r="Y14" s="3">
        <f t="shared" si="1"/>
        <v>1806111.2346694139</v>
      </c>
      <c r="Z14" s="3">
        <f t="shared" si="1"/>
        <v>1860294.5717094962</v>
      </c>
      <c r="AA14" s="3">
        <f t="shared" si="1"/>
        <v>1916103.408860781</v>
      </c>
      <c r="AB14" s="3">
        <f t="shared" si="1"/>
        <v>1973586.5111266044</v>
      </c>
      <c r="AC14" s="3">
        <f t="shared" si="1"/>
        <v>2032794.1064604025</v>
      </c>
      <c r="AD14" s="3">
        <f t="shared" si="1"/>
        <v>2093777.9296542145</v>
      </c>
      <c r="AE14" s="3">
        <f t="shared" si="1"/>
        <v>2156591.2675438412</v>
      </c>
      <c r="AF14" s="3">
        <f t="shared" si="1"/>
        <v>2221289.0055701565</v>
      </c>
      <c r="AG14" s="3">
        <f t="shared" si="1"/>
        <v>2287927.6757372613</v>
      </c>
      <c r="AH14" s="3">
        <f t="shared" si="1"/>
        <v>2356565.5060093789</v>
      </c>
      <c r="AI14" s="54"/>
    </row>
    <row r="15" spans="1:35" hidden="1">
      <c r="A15" s="9"/>
      <c r="B15" t="s">
        <v>20</v>
      </c>
      <c r="C15" s="23">
        <v>0.03</v>
      </c>
      <c r="D15" s="23"/>
      <c r="E15" s="3">
        <v>0</v>
      </c>
      <c r="F15" s="3">
        <f>(E15*$C$14)+E15</f>
        <v>0</v>
      </c>
      <c r="G15" s="3">
        <f t="shared" ref="G15:AH15" si="2">(F15*$C$14)+F15</f>
        <v>0</v>
      </c>
      <c r="H15" s="3">
        <f t="shared" si="2"/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3">
        <f t="shared" si="2"/>
        <v>0</v>
      </c>
      <c r="Q15" s="3">
        <f t="shared" si="2"/>
        <v>0</v>
      </c>
      <c r="R15" s="3">
        <f t="shared" si="2"/>
        <v>0</v>
      </c>
      <c r="S15" s="3">
        <f t="shared" si="2"/>
        <v>0</v>
      </c>
      <c r="T15" s="3">
        <f t="shared" si="2"/>
        <v>0</v>
      </c>
      <c r="U15" s="3">
        <f t="shared" si="2"/>
        <v>0</v>
      </c>
      <c r="V15" s="3">
        <f t="shared" si="2"/>
        <v>0</v>
      </c>
      <c r="W15" s="3">
        <f t="shared" si="2"/>
        <v>0</v>
      </c>
      <c r="X15" s="3">
        <f t="shared" si="2"/>
        <v>0</v>
      </c>
      <c r="Y15" s="3">
        <f t="shared" si="2"/>
        <v>0</v>
      </c>
      <c r="Z15" s="3">
        <f t="shared" si="2"/>
        <v>0</v>
      </c>
      <c r="AA15" s="3">
        <f t="shared" si="2"/>
        <v>0</v>
      </c>
      <c r="AB15" s="3">
        <f t="shared" si="2"/>
        <v>0</v>
      </c>
      <c r="AC15" s="3">
        <f t="shared" si="2"/>
        <v>0</v>
      </c>
      <c r="AD15" s="3">
        <f t="shared" si="2"/>
        <v>0</v>
      </c>
      <c r="AE15" s="3">
        <f t="shared" si="2"/>
        <v>0</v>
      </c>
      <c r="AF15" s="3">
        <f t="shared" si="2"/>
        <v>0</v>
      </c>
      <c r="AG15" s="3">
        <f t="shared" si="2"/>
        <v>0</v>
      </c>
      <c r="AH15" s="3">
        <f t="shared" si="2"/>
        <v>0</v>
      </c>
      <c r="AI15" s="54"/>
    </row>
    <row r="16" spans="1:35" hidden="1">
      <c r="A16" s="9"/>
      <c r="B16" t="s">
        <v>21</v>
      </c>
      <c r="C16" s="23">
        <v>0.03</v>
      </c>
      <c r="D16" s="23"/>
      <c r="E16" s="3">
        <v>0</v>
      </c>
      <c r="F16" s="3">
        <f>(E16*$C$14)+E16</f>
        <v>0</v>
      </c>
      <c r="G16" s="3">
        <f t="shared" ref="G16:AH16" si="3">(F16*$C$14)+F16</f>
        <v>0</v>
      </c>
      <c r="H16" s="3">
        <f t="shared" si="3"/>
        <v>0</v>
      </c>
      <c r="I16" s="3">
        <f t="shared" si="3"/>
        <v>0</v>
      </c>
      <c r="J16" s="3">
        <f t="shared" si="3"/>
        <v>0</v>
      </c>
      <c r="K16" s="3">
        <f t="shared" si="3"/>
        <v>0</v>
      </c>
      <c r="L16" s="3">
        <f t="shared" si="3"/>
        <v>0</v>
      </c>
      <c r="M16" s="3">
        <f t="shared" si="3"/>
        <v>0</v>
      </c>
      <c r="N16" s="3">
        <f t="shared" si="3"/>
        <v>0</v>
      </c>
      <c r="O16" s="3">
        <f t="shared" si="3"/>
        <v>0</v>
      </c>
      <c r="P16" s="3">
        <f t="shared" si="3"/>
        <v>0</v>
      </c>
      <c r="Q16" s="3">
        <f t="shared" si="3"/>
        <v>0</v>
      </c>
      <c r="R16" s="3">
        <f t="shared" si="3"/>
        <v>0</v>
      </c>
      <c r="S16" s="3">
        <f t="shared" si="3"/>
        <v>0</v>
      </c>
      <c r="T16" s="3">
        <f t="shared" si="3"/>
        <v>0</v>
      </c>
      <c r="U16" s="3">
        <f t="shared" si="3"/>
        <v>0</v>
      </c>
      <c r="V16" s="3">
        <f t="shared" si="3"/>
        <v>0</v>
      </c>
      <c r="W16" s="3">
        <f t="shared" si="3"/>
        <v>0</v>
      </c>
      <c r="X16" s="3">
        <f t="shared" si="3"/>
        <v>0</v>
      </c>
      <c r="Y16" s="3">
        <f t="shared" si="3"/>
        <v>0</v>
      </c>
      <c r="Z16" s="3">
        <f t="shared" si="3"/>
        <v>0</v>
      </c>
      <c r="AA16" s="3">
        <f t="shared" si="3"/>
        <v>0</v>
      </c>
      <c r="AB16" s="3">
        <f t="shared" si="3"/>
        <v>0</v>
      </c>
      <c r="AC16" s="3">
        <f t="shared" si="3"/>
        <v>0</v>
      </c>
      <c r="AD16" s="3">
        <f t="shared" si="3"/>
        <v>0</v>
      </c>
      <c r="AE16" s="3">
        <f t="shared" si="3"/>
        <v>0</v>
      </c>
      <c r="AF16" s="3">
        <f t="shared" si="3"/>
        <v>0</v>
      </c>
      <c r="AG16" s="3">
        <f t="shared" si="3"/>
        <v>0</v>
      </c>
      <c r="AH16" s="3">
        <f t="shared" si="3"/>
        <v>0</v>
      </c>
      <c r="AI16" s="54"/>
    </row>
    <row r="17" spans="1:35" hidden="1">
      <c r="A17" s="9"/>
      <c r="C17" s="11"/>
      <c r="D17" s="1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AI17" s="54"/>
    </row>
    <row r="18" spans="1:35" hidden="1">
      <c r="A18" s="9" t="s">
        <v>15</v>
      </c>
      <c r="C18" s="11"/>
      <c r="D18" s="1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AI18" s="54"/>
    </row>
    <row r="19" spans="1:35" hidden="1">
      <c r="A19" s="9"/>
      <c r="B19" t="s">
        <v>16</v>
      </c>
      <c r="C19" s="23">
        <v>0.01</v>
      </c>
      <c r="D19" s="23"/>
      <c r="E19" s="3">
        <v>500000</v>
      </c>
      <c r="F19" s="3">
        <f t="shared" ref="F19:AH19" si="4">(E19*$C$19)+E19</f>
        <v>505000</v>
      </c>
      <c r="G19" s="3">
        <f t="shared" si="4"/>
        <v>510050</v>
      </c>
      <c r="H19" s="3">
        <f t="shared" si="4"/>
        <v>515150.5</v>
      </c>
      <c r="I19" s="3">
        <f t="shared" si="4"/>
        <v>520302.005</v>
      </c>
      <c r="J19" s="3">
        <f t="shared" si="4"/>
        <v>525505.02505000005</v>
      </c>
      <c r="K19" s="3">
        <f t="shared" si="4"/>
        <v>530760.07530050003</v>
      </c>
      <c r="L19" s="3">
        <f t="shared" si="4"/>
        <v>536067.67605350504</v>
      </c>
      <c r="M19" s="3">
        <f t="shared" si="4"/>
        <v>541428.35281404015</v>
      </c>
      <c r="N19" s="3">
        <f t="shared" si="4"/>
        <v>546842.63634218054</v>
      </c>
      <c r="O19" s="3">
        <f t="shared" si="4"/>
        <v>552311.06270560238</v>
      </c>
      <c r="P19" s="3">
        <f t="shared" si="4"/>
        <v>557834.17333265836</v>
      </c>
      <c r="Q19" s="3">
        <f t="shared" si="4"/>
        <v>563412.51506598492</v>
      </c>
      <c r="R19" s="3">
        <f t="shared" si="4"/>
        <v>569046.64021664474</v>
      </c>
      <c r="S19" s="3">
        <f t="shared" si="4"/>
        <v>574737.10661881114</v>
      </c>
      <c r="T19" s="3">
        <f t="shared" si="4"/>
        <v>580484.47768499923</v>
      </c>
      <c r="U19" s="3">
        <f t="shared" si="4"/>
        <v>586289.32246184919</v>
      </c>
      <c r="V19" s="3">
        <f t="shared" si="4"/>
        <v>592152.21568646771</v>
      </c>
      <c r="W19" s="3">
        <f t="shared" si="4"/>
        <v>598073.73784333235</v>
      </c>
      <c r="X19" s="3">
        <f t="shared" si="4"/>
        <v>604054.47522176569</v>
      </c>
      <c r="Y19" s="3">
        <f t="shared" si="4"/>
        <v>610095.01997398341</v>
      </c>
      <c r="Z19" s="3">
        <f t="shared" si="4"/>
        <v>616195.9701737233</v>
      </c>
      <c r="AA19" s="3">
        <f t="shared" si="4"/>
        <v>622357.92987546057</v>
      </c>
      <c r="AB19" s="3">
        <f t="shared" si="4"/>
        <v>628581.50917421514</v>
      </c>
      <c r="AC19" s="3">
        <f t="shared" si="4"/>
        <v>634867.32426595734</v>
      </c>
      <c r="AD19" s="3">
        <f t="shared" si="4"/>
        <v>641215.99750861689</v>
      </c>
      <c r="AE19" s="3">
        <f t="shared" si="4"/>
        <v>647628.15748370311</v>
      </c>
      <c r="AF19" s="3">
        <f t="shared" si="4"/>
        <v>654104.43905854016</v>
      </c>
      <c r="AG19" s="3">
        <f t="shared" si="4"/>
        <v>660645.48344912555</v>
      </c>
      <c r="AH19" s="3">
        <f t="shared" si="4"/>
        <v>667251.93828361679</v>
      </c>
      <c r="AI19" s="54"/>
    </row>
    <row r="20" spans="1:35" hidden="1">
      <c r="A20" s="9"/>
      <c r="B20" t="s">
        <v>17</v>
      </c>
      <c r="C20" s="23">
        <v>0</v>
      </c>
      <c r="D20" s="23"/>
      <c r="E20" s="3">
        <v>50000</v>
      </c>
      <c r="F20" s="3">
        <f t="shared" ref="F20:AH20" si="5">(E20*$C$20)+E20</f>
        <v>50000</v>
      </c>
      <c r="G20" s="3">
        <f t="shared" si="5"/>
        <v>50000</v>
      </c>
      <c r="H20" s="3">
        <f t="shared" si="5"/>
        <v>50000</v>
      </c>
      <c r="I20" s="3">
        <f t="shared" si="5"/>
        <v>50000</v>
      </c>
      <c r="J20" s="3">
        <f t="shared" si="5"/>
        <v>50000</v>
      </c>
      <c r="K20" s="3">
        <f t="shared" si="5"/>
        <v>50000</v>
      </c>
      <c r="L20" s="3">
        <f t="shared" si="5"/>
        <v>50000</v>
      </c>
      <c r="M20" s="3">
        <f t="shared" si="5"/>
        <v>50000</v>
      </c>
      <c r="N20" s="3">
        <f t="shared" si="5"/>
        <v>50000</v>
      </c>
      <c r="O20" s="3">
        <f t="shared" si="5"/>
        <v>50000</v>
      </c>
      <c r="P20" s="3">
        <f t="shared" si="5"/>
        <v>50000</v>
      </c>
      <c r="Q20" s="3">
        <f t="shared" si="5"/>
        <v>50000</v>
      </c>
      <c r="R20" s="3">
        <f t="shared" si="5"/>
        <v>50000</v>
      </c>
      <c r="S20" s="3">
        <f t="shared" si="5"/>
        <v>50000</v>
      </c>
      <c r="T20" s="3">
        <f t="shared" si="5"/>
        <v>50000</v>
      </c>
      <c r="U20" s="3">
        <f t="shared" si="5"/>
        <v>50000</v>
      </c>
      <c r="V20" s="3">
        <f t="shared" si="5"/>
        <v>50000</v>
      </c>
      <c r="W20" s="3">
        <f t="shared" si="5"/>
        <v>50000</v>
      </c>
      <c r="X20" s="3">
        <f t="shared" si="5"/>
        <v>50000</v>
      </c>
      <c r="Y20" s="3">
        <f t="shared" si="5"/>
        <v>50000</v>
      </c>
      <c r="Z20" s="3">
        <f t="shared" si="5"/>
        <v>50000</v>
      </c>
      <c r="AA20" s="3">
        <f t="shared" si="5"/>
        <v>50000</v>
      </c>
      <c r="AB20" s="3">
        <f t="shared" si="5"/>
        <v>50000</v>
      </c>
      <c r="AC20" s="3">
        <f t="shared" si="5"/>
        <v>50000</v>
      </c>
      <c r="AD20" s="3">
        <f t="shared" si="5"/>
        <v>50000</v>
      </c>
      <c r="AE20" s="3">
        <f t="shared" si="5"/>
        <v>50000</v>
      </c>
      <c r="AF20" s="3">
        <f t="shared" si="5"/>
        <v>50000</v>
      </c>
      <c r="AG20" s="3">
        <f t="shared" si="5"/>
        <v>50000</v>
      </c>
      <c r="AH20" s="3">
        <f t="shared" si="5"/>
        <v>50000</v>
      </c>
      <c r="AI20" s="54"/>
    </row>
    <row r="21" spans="1:35" s="33" customFormat="1">
      <c r="A21" s="9"/>
      <c r="B21" s="33" t="s">
        <v>171</v>
      </c>
      <c r="C21" s="23">
        <v>0.01</v>
      </c>
      <c r="D21" s="23"/>
      <c r="E21" s="34">
        <f>SUM(E19:E20)</f>
        <v>550000</v>
      </c>
      <c r="F21" s="34">
        <f t="shared" ref="F21:AH21" si="6">SUM(F19:F20)</f>
        <v>555000</v>
      </c>
      <c r="G21" s="34">
        <f t="shared" si="6"/>
        <v>560050</v>
      </c>
      <c r="H21" s="34">
        <f t="shared" si="6"/>
        <v>565150.5</v>
      </c>
      <c r="I21" s="34">
        <f t="shared" si="6"/>
        <v>570302.005</v>
      </c>
      <c r="J21" s="34">
        <f t="shared" si="6"/>
        <v>575505.02505000005</v>
      </c>
      <c r="K21" s="34">
        <f t="shared" si="6"/>
        <v>580760.07530050003</v>
      </c>
      <c r="L21" s="34">
        <f t="shared" si="6"/>
        <v>586067.67605350504</v>
      </c>
      <c r="M21" s="34">
        <f t="shared" si="6"/>
        <v>591428.35281404015</v>
      </c>
      <c r="N21" s="34">
        <f t="shared" si="6"/>
        <v>596842.63634218054</v>
      </c>
      <c r="O21" s="34">
        <f t="shared" si="6"/>
        <v>602311.06270560238</v>
      </c>
      <c r="P21" s="34">
        <f t="shared" si="6"/>
        <v>607834.17333265836</v>
      </c>
      <c r="Q21" s="34">
        <f t="shared" si="6"/>
        <v>613412.51506598492</v>
      </c>
      <c r="R21" s="34">
        <f t="shared" si="6"/>
        <v>619046.64021664474</v>
      </c>
      <c r="S21" s="34">
        <f t="shared" si="6"/>
        <v>624737.10661881114</v>
      </c>
      <c r="T21" s="34">
        <f t="shared" si="6"/>
        <v>630484.47768499923</v>
      </c>
      <c r="U21" s="34">
        <f t="shared" si="6"/>
        <v>636289.32246184919</v>
      </c>
      <c r="V21" s="34">
        <f t="shared" si="6"/>
        <v>642152.21568646771</v>
      </c>
      <c r="W21" s="34">
        <f t="shared" si="6"/>
        <v>648073.73784333235</v>
      </c>
      <c r="X21" s="34">
        <f t="shared" si="6"/>
        <v>654054.47522176569</v>
      </c>
      <c r="Y21" s="34">
        <f t="shared" si="6"/>
        <v>660095.01997398341</v>
      </c>
      <c r="Z21" s="34">
        <f t="shared" si="6"/>
        <v>666195.9701737233</v>
      </c>
      <c r="AA21" s="34">
        <f t="shared" si="6"/>
        <v>672357.92987546057</v>
      </c>
      <c r="AB21" s="34">
        <f t="shared" si="6"/>
        <v>678581.50917421514</v>
      </c>
      <c r="AC21" s="34">
        <f t="shared" si="6"/>
        <v>684867.32426595734</v>
      </c>
      <c r="AD21" s="34">
        <f t="shared" si="6"/>
        <v>691215.99750861689</v>
      </c>
      <c r="AE21" s="34">
        <f t="shared" si="6"/>
        <v>697628.15748370311</v>
      </c>
      <c r="AF21" s="34">
        <f t="shared" si="6"/>
        <v>704104.43905854016</v>
      </c>
      <c r="AG21" s="34">
        <f t="shared" si="6"/>
        <v>710645.48344912555</v>
      </c>
      <c r="AH21" s="34">
        <f t="shared" si="6"/>
        <v>717251.93828361679</v>
      </c>
      <c r="AI21" s="19"/>
    </row>
    <row r="22" spans="1:35" hidden="1">
      <c r="A22" s="9"/>
      <c r="C22" s="11"/>
      <c r="D22" s="1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AI22" s="54"/>
    </row>
    <row r="23" spans="1:35" hidden="1">
      <c r="A23" s="9" t="s">
        <v>18</v>
      </c>
      <c r="C23" s="11"/>
      <c r="D23" s="1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AI23" s="54"/>
    </row>
    <row r="24" spans="1:35">
      <c r="A24" s="9"/>
      <c r="B24" s="45" t="s">
        <v>82</v>
      </c>
      <c r="C24" s="23">
        <f>Assumptions!C16</f>
        <v>0.06</v>
      </c>
      <c r="D24" s="23"/>
      <c r="E24" s="19">
        <v>2500000</v>
      </c>
      <c r="F24" s="19">
        <f>((E24+Data!C59)*$C$24)+E24</f>
        <v>2651380</v>
      </c>
      <c r="G24" s="19">
        <f>((F24+Data!D59)*$C$24)+F24</f>
        <v>2811884.2</v>
      </c>
      <c r="H24" s="19">
        <f>((G24+Data!E59)*$C$24)+G24</f>
        <v>2982061.2940000002</v>
      </c>
      <c r="I24" s="19">
        <f>((H24+Data!F59)*$C$24)+H24</f>
        <v>3162492.9349000002</v>
      </c>
      <c r="J24" s="19">
        <f>((I24+Data!G59)*$C$24)+I24</f>
        <v>3353795.7131518004</v>
      </c>
      <c r="K24" s="19">
        <f>((J24-Data!H13)*$C$24)+J24-Data!H13</f>
        <v>3432678.8387513463</v>
      </c>
      <c r="L24" s="19">
        <f>((K24-Data!I13)*$C$24)+K24-Data!I13</f>
        <v>3504487.7405503551</v>
      </c>
      <c r="M24" s="19">
        <f>((L24-Data!J13)*$C$24)+L24-Data!J13</f>
        <v>3572622.6468163282</v>
      </c>
      <c r="N24" s="19">
        <f>((M24-Data!K13)*$C$24)+M24-Data!K13</f>
        <v>3636584.9851806364</v>
      </c>
      <c r="O24" s="19">
        <f>((N24-Data!L13)*$C$24)+N24-Data!L13</f>
        <v>3695663.2773324279</v>
      </c>
      <c r="P24" s="19">
        <f>((O24-Data!M13)*$C$24)+O24-Data!M13</f>
        <v>3749072.0659247111</v>
      </c>
      <c r="Q24" s="19">
        <f>((P24-Data!N13)*$C$24)+P24-Data!N13</f>
        <v>3795952.6137905405</v>
      </c>
      <c r="R24" s="19">
        <f>((Q24-Data!O13)*$C$24)+Q24-Data!O13</f>
        <v>3836256.1673217374</v>
      </c>
      <c r="S24" s="19">
        <f>((R24-Data!P13)*$C$24)+R24-Data!P13</f>
        <v>3868219.2333897129</v>
      </c>
      <c r="T24" s="19">
        <f>((S24-Data!Q13)*$C$24)+S24-Data!Q13</f>
        <v>3891777.4367591962</v>
      </c>
      <c r="U24" s="19">
        <f>((T24-Data!R13)*$C$24)+T24-Data!R13</f>
        <v>3906016.0408581654</v>
      </c>
      <c r="V24" s="19">
        <f>((U24-Data!S13)*$C$24)+U24-Data!S13</f>
        <v>3909914.2053786637</v>
      </c>
      <c r="W24" s="19">
        <f>((V24-Data!T13)*$C$24)+V24-Data!T13</f>
        <v>3902381.7475663163</v>
      </c>
      <c r="X24" s="19">
        <f>((W24-Data!U13)*$C$24)+W24-Data!U13</f>
        <v>3882260.2930521122</v>
      </c>
      <c r="Y24" s="19">
        <f>((X24-Data!V13)*$C$24)+X24-Data!V13</f>
        <v>3848323.3524145745</v>
      </c>
      <c r="Z24" s="19">
        <f>((Y24-Data!W13)*$C$24)+Y24-Data!W13</f>
        <v>3801168.9758138247</v>
      </c>
      <c r="AA24" s="19">
        <f>((Z24-Data!X13)*$C$24)+Z24-Data!X13</f>
        <v>3739932.5360960267</v>
      </c>
      <c r="AB24" s="19">
        <f>((AA24-Data!Y13)*$C$24)+AA24-Data!Y13</f>
        <v>3663639.0021153213</v>
      </c>
      <c r="AC24" s="19">
        <f>((AB24-Data!Z13)*$C$24)+AB24-Data!Z13</f>
        <v>3571305.4927728083</v>
      </c>
      <c r="AD24" s="19">
        <f>((AC24-Data!AA13)*$C$24)+AC24-Data!AA13</f>
        <v>3461962.3771523237</v>
      </c>
      <c r="AE24" s="19">
        <f>((AD24-Data!AB13)*$C$24)+AD24-Data!AB13</f>
        <v>3337611.3634359213</v>
      </c>
      <c r="AF24" s="19">
        <f>((AE24-Data!AC13)*$C$24)+AE24-Data!AC13</f>
        <v>3198082.848966015</v>
      </c>
      <c r="AG24" s="19">
        <f>((AF24-Data!AD13)*$C$24)+AF24-Data!AD13</f>
        <v>3043118.0115469098</v>
      </c>
      <c r="AH24" s="19">
        <f>((AG24-Data!AE13)*$C$24)+AG24-Data!AE13</f>
        <v>2872583.4443330602</v>
      </c>
      <c r="AI24" s="54"/>
    </row>
    <row r="25" spans="1:35" ht="7.5" customHeight="1">
      <c r="A25" s="9"/>
      <c r="B25" s="9"/>
      <c r="C25" s="11"/>
      <c r="D25" s="11"/>
      <c r="E25" s="18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AI25" s="54"/>
    </row>
    <row r="26" spans="1:35" hidden="1">
      <c r="A26" s="9"/>
      <c r="B26" s="9"/>
      <c r="C26" s="11"/>
      <c r="D26" s="11"/>
      <c r="E26" s="18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AI26" s="54"/>
    </row>
    <row r="27" spans="1:35">
      <c r="A27" s="9"/>
      <c r="B27" s="9" t="s">
        <v>91</v>
      </c>
      <c r="C27" s="9"/>
      <c r="D27" s="9"/>
      <c r="E27" s="35">
        <f>E7+E8+E11+E14+E21+E24</f>
        <v>7950000</v>
      </c>
      <c r="F27" s="35">
        <f t="shared" ref="F27:AH27" si="7">F7+F8+F11+F14+F21+F24</f>
        <v>8536730</v>
      </c>
      <c r="G27" s="35">
        <f t="shared" si="7"/>
        <v>9149728.1999999993</v>
      </c>
      <c r="H27" s="35">
        <f t="shared" si="7"/>
        <v>9789752.6864999998</v>
      </c>
      <c r="I27" s="35">
        <f t="shared" si="7"/>
        <v>10458794.505087499</v>
      </c>
      <c r="J27" s="35">
        <f t="shared" si="7"/>
        <v>11158363.600026237</v>
      </c>
      <c r="K27" s="35">
        <f t="shared" si="7"/>
        <v>11645752.07574237</v>
      </c>
      <c r="L27" s="35">
        <f t="shared" si="7"/>
        <v>12176680.855866279</v>
      </c>
      <c r="M27" s="35">
        <f t="shared" si="7"/>
        <v>12733771.359903909</v>
      </c>
      <c r="N27" s="35">
        <f t="shared" si="7"/>
        <v>13318475.315028854</v>
      </c>
      <c r="O27" s="35">
        <f t="shared" si="7"/>
        <v>13932928.835180525</v>
      </c>
      <c r="P27" s="35">
        <f t="shared" si="7"/>
        <v>14578786.083955579</v>
      </c>
      <c r="Q27" s="35">
        <f t="shared" si="7"/>
        <v>15257799.3664639</v>
      </c>
      <c r="R27" s="35">
        <f t="shared" si="7"/>
        <v>15971875.393495722</v>
      </c>
      <c r="S27" s="35">
        <f t="shared" si="7"/>
        <v>16722939.02752975</v>
      </c>
      <c r="T27" s="35">
        <f t="shared" si="7"/>
        <v>17513133.58533337</v>
      </c>
      <c r="U27" s="35">
        <f t="shared" si="7"/>
        <v>18344684.028982092</v>
      </c>
      <c r="V27" s="35">
        <f t="shared" si="7"/>
        <v>19219947.057386477</v>
      </c>
      <c r="W27" s="35">
        <f t="shared" si="7"/>
        <v>20141421.641870849</v>
      </c>
      <c r="X27" s="35">
        <f t="shared" si="7"/>
        <v>21111758.067259327</v>
      </c>
      <c r="Y27" s="35">
        <f t="shared" si="7"/>
        <v>22133767.46537685</v>
      </c>
      <c r="Z27" s="35">
        <f t="shared" si="7"/>
        <v>23210539.062823292</v>
      </c>
      <c r="AA27" s="35">
        <f t="shared" si="7"/>
        <v>24407567.785333376</v>
      </c>
      <c r="AB27" s="35">
        <f t="shared" si="7"/>
        <v>25671131.43217916</v>
      </c>
      <c r="AC27" s="35">
        <f t="shared" si="7"/>
        <v>27005189.279414788</v>
      </c>
      <c r="AD27" s="35">
        <f t="shared" si="7"/>
        <v>28413946.656157177</v>
      </c>
      <c r="AE27" s="35">
        <f t="shared" si="7"/>
        <v>29902037.47721703</v>
      </c>
      <c r="AF27" s="35">
        <f t="shared" si="7"/>
        <v>31474249.171315044</v>
      </c>
      <c r="AG27" s="35">
        <f t="shared" si="7"/>
        <v>33135657.541740123</v>
      </c>
      <c r="AH27" s="35">
        <f t="shared" si="7"/>
        <v>34891656.967072465</v>
      </c>
      <c r="AI27" s="55"/>
    </row>
    <row r="28" spans="1:35" ht="7.5" customHeight="1">
      <c r="A28" s="9"/>
      <c r="B28" s="9"/>
      <c r="C28" s="9"/>
      <c r="D28" s="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54"/>
    </row>
    <row r="29" spans="1:35">
      <c r="A29" s="9" t="s">
        <v>70</v>
      </c>
      <c r="B29" s="9"/>
      <c r="C29" s="9"/>
      <c r="D29" s="9"/>
      <c r="E29" s="36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54"/>
    </row>
    <row r="30" spans="1:35" hidden="1">
      <c r="A30" s="9"/>
      <c r="B30" s="5" t="s">
        <v>89</v>
      </c>
      <c r="C30" s="23">
        <v>0.03</v>
      </c>
      <c r="D30" s="23"/>
      <c r="E30" s="3">
        <v>3400000</v>
      </c>
      <c r="F30" s="3">
        <f>(E30*Assumptions!$C$8)+E30</f>
        <v>3502000</v>
      </c>
      <c r="G30" s="3">
        <f>(F30*Assumptions!$C$8)+F30</f>
        <v>3607060</v>
      </c>
      <c r="H30" s="3">
        <f>(G30*Assumptions!$C$8)+G30</f>
        <v>3715271.8</v>
      </c>
      <c r="I30" s="3">
        <f>(H30*Assumptions!$C$8)+H30</f>
        <v>3826729.9539999999</v>
      </c>
      <c r="J30" s="3">
        <f>(I30*Assumptions!$C$8)+I30</f>
        <v>3941531.85262</v>
      </c>
      <c r="K30" s="3">
        <f>(J30*Assumptions!$C$8)+J30</f>
        <v>4059777.8081986001</v>
      </c>
      <c r="L30" s="3">
        <f>(K30*Assumptions!$C$8)+K30</f>
        <v>4181571.142444558</v>
      </c>
      <c r="M30" s="3">
        <f>(L30*Assumptions!$C$8)+L30</f>
        <v>4307018.2767178947</v>
      </c>
      <c r="N30" s="3">
        <f>(M30*Assumptions!$C$8)+M30</f>
        <v>4436228.8250194313</v>
      </c>
      <c r="O30" s="3">
        <f>(N30*Assumptions!$C$8)+N30</f>
        <v>4569315.689770014</v>
      </c>
      <c r="P30" s="3">
        <f>(O30*Assumptions!$C$8)+O30</f>
        <v>4706395.1604631143</v>
      </c>
      <c r="Q30" s="3">
        <f>(P30*Assumptions!$C$8)+P30</f>
        <v>4847587.0152770076</v>
      </c>
      <c r="R30" s="3">
        <f>(Q30*Assumptions!$C$8)+Q30</f>
        <v>4993014.6257353183</v>
      </c>
      <c r="S30" s="3">
        <f>(R30*Assumptions!$C$8)+R30</f>
        <v>5142805.0645073783</v>
      </c>
      <c r="T30" s="3">
        <f>(S30*Assumptions!$C$8)+S30</f>
        <v>5297089.2164425999</v>
      </c>
      <c r="U30" s="3">
        <f>(T30*Assumptions!$C$8)+T30</f>
        <v>5456001.8929358777</v>
      </c>
      <c r="V30" s="3">
        <f>(U30*Assumptions!$C$8)+U30</f>
        <v>5619681.9497239543</v>
      </c>
      <c r="W30" s="3">
        <f>(V30*Assumptions!$C$8)+V30</f>
        <v>5788272.4082156727</v>
      </c>
      <c r="X30" s="3">
        <f>(W30*Assumptions!$C$8)+W30</f>
        <v>5961920.5804621428</v>
      </c>
      <c r="Y30" s="3">
        <f>(X30*Assumptions!$C$8)+X30</f>
        <v>6140778.1978760073</v>
      </c>
      <c r="Z30" s="3">
        <f>(Y30*Assumptions!$C$8)+Y30</f>
        <v>6325001.543812288</v>
      </c>
      <c r="AA30" s="3">
        <f>(Z30*Assumptions!$C$8)+Z30</f>
        <v>6514751.5901266569</v>
      </c>
      <c r="AB30" s="3">
        <f>(AA30*Assumptions!$C$8)+AA30</f>
        <v>6710194.1378304567</v>
      </c>
      <c r="AC30" s="3">
        <f>(AB30*Assumptions!$C$8)+AB30</f>
        <v>6911499.96196537</v>
      </c>
      <c r="AD30" s="3">
        <f>(AC30*Assumptions!$C$8)+AC30</f>
        <v>7118844.9608243313</v>
      </c>
      <c r="AE30" s="3">
        <f>(AD30*Assumptions!$C$8)+AD30</f>
        <v>7332410.3096490614</v>
      </c>
      <c r="AF30" s="3">
        <f>(AE30*Assumptions!$C$8)+AE30</f>
        <v>7552382.6189385336</v>
      </c>
      <c r="AG30" s="3">
        <f>(AF30*Assumptions!$C$8)+AF30</f>
        <v>7778954.0975066898</v>
      </c>
      <c r="AH30" s="3">
        <f>(AG30*Assumptions!$C$8)+AG30</f>
        <v>8012322.7204318903</v>
      </c>
      <c r="AI30" s="54"/>
    </row>
    <row r="31" spans="1:35" hidden="1">
      <c r="A31" s="9"/>
      <c r="B31" s="5" t="s">
        <v>90</v>
      </c>
      <c r="C31" s="23">
        <v>0.03</v>
      </c>
      <c r="D31" s="23"/>
      <c r="E31" s="6">
        <v>5430000</v>
      </c>
      <c r="F31" s="6">
        <f>(E31*Assumptions!$C$8)+E31</f>
        <v>5592900</v>
      </c>
      <c r="G31" s="6">
        <f>(F31*Assumptions!$C$8)+F31</f>
        <v>5760687</v>
      </c>
      <c r="H31" s="6">
        <f>(G31*Assumptions!$C$8)+G31</f>
        <v>5933507.6100000003</v>
      </c>
      <c r="I31" s="6">
        <f>(H31*Assumptions!$C$8)+H31</f>
        <v>6111512.8382999999</v>
      </c>
      <c r="J31" s="6">
        <f>(I31*Assumptions!$C$8)+I31</f>
        <v>6294858.2234490002</v>
      </c>
      <c r="K31" s="6">
        <f>(J31*Assumptions!$C$8)+J31</f>
        <v>6483703.9701524703</v>
      </c>
      <c r="L31" s="6">
        <f>(K31*Assumptions!$C$8)+K31</f>
        <v>6678215.0892570447</v>
      </c>
      <c r="M31" s="6">
        <f>(L31*Assumptions!$C$8)+L31</f>
        <v>6878561.5419347556</v>
      </c>
      <c r="N31" s="6">
        <f>(M31*Assumptions!$C$8)+M31</f>
        <v>7084918.388192798</v>
      </c>
      <c r="O31" s="6">
        <f>(N31*Assumptions!$C$8)+N31</f>
        <v>7297465.9398385817</v>
      </c>
      <c r="P31" s="6">
        <f>(O31*Assumptions!$C$8)+O31</f>
        <v>7516389.9180337396</v>
      </c>
      <c r="Q31" s="6">
        <f>(P31*Assumptions!$C$8)+P31</f>
        <v>7741881.615574752</v>
      </c>
      <c r="R31" s="6">
        <f>(Q31*Assumptions!$C$8)+Q31</f>
        <v>7974138.0640419945</v>
      </c>
      <c r="S31" s="6">
        <f>(R31*Assumptions!$C$8)+R31</f>
        <v>8213362.205963254</v>
      </c>
      <c r="T31" s="6">
        <f>(S31*Assumptions!$C$8)+S31</f>
        <v>8459763.0721421521</v>
      </c>
      <c r="U31" s="6">
        <f>(T31*Assumptions!$C$8)+T31</f>
        <v>8713555.964306416</v>
      </c>
      <c r="V31" s="6">
        <f>(U31*Assumptions!$C$8)+U31</f>
        <v>8974962.6432356089</v>
      </c>
      <c r="W31" s="6">
        <f>(V31*Assumptions!$C$8)+V31</f>
        <v>9244211.5225326773</v>
      </c>
      <c r="X31" s="6">
        <f>(W31*Assumptions!$C$8)+W31</f>
        <v>9521537.868208658</v>
      </c>
      <c r="Y31" s="6">
        <f>(X31*Assumptions!$C$8)+X31</f>
        <v>9807184.0042549185</v>
      </c>
      <c r="Z31" s="6">
        <f>(Y31*Assumptions!$C$8)+Y31</f>
        <v>10101399.524382565</v>
      </c>
      <c r="AA31" s="6">
        <f>(Z31*Assumptions!$C$8)+Z31</f>
        <v>10404441.510114042</v>
      </c>
      <c r="AB31" s="6">
        <f>(AA31*Assumptions!$C$8)+AA31</f>
        <v>10716574.755417462</v>
      </c>
      <c r="AC31" s="6">
        <f>(AB31*Assumptions!$C$8)+AB31</f>
        <v>11038071.998079985</v>
      </c>
      <c r="AD31" s="6">
        <f>(AC31*Assumptions!$C$8)+AC31</f>
        <v>11369214.158022385</v>
      </c>
      <c r="AE31" s="6">
        <f>(AD31*Assumptions!$C$8)+AD31</f>
        <v>11710290.582763057</v>
      </c>
      <c r="AF31" s="6">
        <f>(AE31*Assumptions!$C$8)+AE31</f>
        <v>12061599.300245948</v>
      </c>
      <c r="AG31" s="6">
        <f>(AF31*Assumptions!$C$8)+AF31</f>
        <v>12423447.279253326</v>
      </c>
      <c r="AH31" s="6">
        <f>(AG31*Assumptions!$C$8)+AG31</f>
        <v>12796150.697630927</v>
      </c>
      <c r="AI31" s="54"/>
    </row>
    <row r="32" spans="1:35">
      <c r="A32" s="9"/>
      <c r="B32" s="5" t="s">
        <v>71</v>
      </c>
      <c r="C32" s="23">
        <v>0.03</v>
      </c>
      <c r="D32" s="9"/>
      <c r="E32" s="4">
        <f t="shared" ref="E32:AH32" si="8">SUM(E30:E31)</f>
        <v>8830000</v>
      </c>
      <c r="F32" s="4">
        <f t="shared" si="8"/>
        <v>9094900</v>
      </c>
      <c r="G32" s="4">
        <f t="shared" si="8"/>
        <v>9367747</v>
      </c>
      <c r="H32" s="4">
        <f t="shared" si="8"/>
        <v>9648779.4100000001</v>
      </c>
      <c r="I32" s="4">
        <f t="shared" si="8"/>
        <v>9938242.7923000008</v>
      </c>
      <c r="J32" s="4">
        <f t="shared" si="8"/>
        <v>10236390.076069001</v>
      </c>
      <c r="K32" s="4">
        <f t="shared" si="8"/>
        <v>10543481.77835107</v>
      </c>
      <c r="L32" s="4">
        <f t="shared" si="8"/>
        <v>10859786.231701603</v>
      </c>
      <c r="M32" s="4">
        <f t="shared" si="8"/>
        <v>11185579.81865265</v>
      </c>
      <c r="N32" s="4">
        <f t="shared" si="8"/>
        <v>11521147.213212229</v>
      </c>
      <c r="O32" s="4">
        <f t="shared" si="8"/>
        <v>11866781.629608596</v>
      </c>
      <c r="P32" s="4">
        <f t="shared" si="8"/>
        <v>12222785.078496855</v>
      </c>
      <c r="Q32" s="4">
        <f t="shared" si="8"/>
        <v>12589468.630851761</v>
      </c>
      <c r="R32" s="4">
        <f t="shared" si="8"/>
        <v>12967152.689777313</v>
      </c>
      <c r="S32" s="4">
        <f t="shared" si="8"/>
        <v>13356167.270470632</v>
      </c>
      <c r="T32" s="4">
        <f t="shared" si="8"/>
        <v>13756852.288584752</v>
      </c>
      <c r="U32" s="4">
        <f t="shared" si="8"/>
        <v>14169557.857242294</v>
      </c>
      <c r="V32" s="4">
        <f t="shared" si="8"/>
        <v>14594644.592959564</v>
      </c>
      <c r="W32" s="4">
        <f t="shared" si="8"/>
        <v>15032483.930748351</v>
      </c>
      <c r="X32" s="4">
        <f t="shared" si="8"/>
        <v>15483458.448670801</v>
      </c>
      <c r="Y32" s="4">
        <f t="shared" si="8"/>
        <v>15947962.202130925</v>
      </c>
      <c r="Z32" s="4">
        <f t="shared" si="8"/>
        <v>16426401.068194853</v>
      </c>
      <c r="AA32" s="4">
        <f t="shared" si="8"/>
        <v>16919193.1002407</v>
      </c>
      <c r="AB32" s="4">
        <f t="shared" si="8"/>
        <v>17426768.893247917</v>
      </c>
      <c r="AC32" s="4">
        <f t="shared" si="8"/>
        <v>17949571.960045356</v>
      </c>
      <c r="AD32" s="4">
        <f t="shared" si="8"/>
        <v>18488059.118846714</v>
      </c>
      <c r="AE32" s="4">
        <f t="shared" si="8"/>
        <v>19042700.892412119</v>
      </c>
      <c r="AF32" s="4">
        <f t="shared" si="8"/>
        <v>19613981.919184484</v>
      </c>
      <c r="AG32" s="4">
        <f t="shared" si="8"/>
        <v>20202401.376760017</v>
      </c>
      <c r="AH32" s="4">
        <f t="shared" si="8"/>
        <v>20808473.418062817</v>
      </c>
      <c r="AI32" s="54"/>
    </row>
    <row r="33" spans="1:35" ht="9" customHeight="1">
      <c r="A33" s="9"/>
      <c r="B33" s="5"/>
      <c r="C33" s="9"/>
      <c r="D33" s="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54"/>
    </row>
    <row r="34" spans="1:35">
      <c r="A34" s="9"/>
      <c r="B34" s="9" t="s">
        <v>72</v>
      </c>
      <c r="C34" s="9"/>
      <c r="D34" s="9"/>
      <c r="E34" s="4">
        <f>E32-E27</f>
        <v>880000</v>
      </c>
      <c r="F34" s="28">
        <f t="shared" ref="F34:AH34" si="9">F32-F27</f>
        <v>558170</v>
      </c>
      <c r="G34" s="28">
        <f t="shared" si="9"/>
        <v>218018.80000000075</v>
      </c>
      <c r="H34" s="28">
        <f t="shared" si="9"/>
        <v>-140973.27649999969</v>
      </c>
      <c r="I34" s="28">
        <f t="shared" si="9"/>
        <v>-520551.71278749779</v>
      </c>
      <c r="J34" s="28">
        <f t="shared" si="9"/>
        <v>-921973.52395723574</v>
      </c>
      <c r="K34" s="28">
        <f t="shared" si="9"/>
        <v>-1102270.2973912992</v>
      </c>
      <c r="L34" s="28">
        <f t="shared" si="9"/>
        <v>-1316894.6241646763</v>
      </c>
      <c r="M34" s="28">
        <f t="shared" si="9"/>
        <v>-1548191.5412512589</v>
      </c>
      <c r="N34" s="28">
        <f t="shared" si="9"/>
        <v>-1797328.1018166244</v>
      </c>
      <c r="O34" s="28">
        <f t="shared" si="9"/>
        <v>-2066147.205571929</v>
      </c>
      <c r="P34" s="28">
        <f t="shared" si="9"/>
        <v>-2356001.0054587238</v>
      </c>
      <c r="Q34" s="28">
        <f t="shared" si="9"/>
        <v>-2668330.7356121391</v>
      </c>
      <c r="R34" s="28">
        <f t="shared" si="9"/>
        <v>-3004722.7037184089</v>
      </c>
      <c r="S34" s="28">
        <f t="shared" si="9"/>
        <v>-3366771.7570591178</v>
      </c>
      <c r="T34" s="28">
        <f t="shared" si="9"/>
        <v>-3756281.2967486177</v>
      </c>
      <c r="U34" s="28">
        <f t="shared" si="9"/>
        <v>-4175126.171739798</v>
      </c>
      <c r="V34" s="28">
        <f t="shared" si="9"/>
        <v>-4625302.4644269124</v>
      </c>
      <c r="W34" s="28">
        <f t="shared" si="9"/>
        <v>-5108937.7111224979</v>
      </c>
      <c r="X34" s="28">
        <f t="shared" si="9"/>
        <v>-5628299.6185885258</v>
      </c>
      <c r="Y34" s="28">
        <f t="shared" si="9"/>
        <v>-6185805.2632459253</v>
      </c>
      <c r="Z34" s="28">
        <f t="shared" si="9"/>
        <v>-6784137.9946284387</v>
      </c>
      <c r="AA34" s="28">
        <f t="shared" si="9"/>
        <v>-7488374.6850926764</v>
      </c>
      <c r="AB34" s="28">
        <f t="shared" si="9"/>
        <v>-8244362.5389312431</v>
      </c>
      <c r="AC34" s="28">
        <f t="shared" si="9"/>
        <v>-9055617.3193694316</v>
      </c>
      <c r="AD34" s="28">
        <f t="shared" si="9"/>
        <v>-9925887.5373104624</v>
      </c>
      <c r="AE34" s="28">
        <f t="shared" si="9"/>
        <v>-10859336.584804911</v>
      </c>
      <c r="AF34" s="28">
        <f t="shared" si="9"/>
        <v>-11860267.252130561</v>
      </c>
      <c r="AG34" s="28">
        <f t="shared" si="9"/>
        <v>-12933256.164980106</v>
      </c>
      <c r="AH34" s="28">
        <f t="shared" si="9"/>
        <v>-14083183.549009647</v>
      </c>
    </row>
    <row r="35" spans="1:35" hidden="1">
      <c r="A35" s="9"/>
      <c r="B35" s="9"/>
      <c r="C35" s="9"/>
      <c r="D35" s="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5" ht="9.75" customHeight="1">
      <c r="A36" s="9"/>
      <c r="B36" s="9"/>
      <c r="C36" s="9"/>
      <c r="D36" s="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5">
      <c r="A37" s="30" t="s">
        <v>200</v>
      </c>
      <c r="B37" s="5"/>
      <c r="C37" s="9"/>
      <c r="D37" s="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35" hidden="1">
      <c r="A38" s="9"/>
      <c r="C38" s="12"/>
      <c r="D38" s="1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35" ht="15" hidden="1" customHeight="1">
      <c r="A39" s="9"/>
      <c r="B39" s="33" t="s">
        <v>121</v>
      </c>
      <c r="C39" s="12"/>
      <c r="D39" s="12"/>
      <c r="E39" s="3">
        <v>1000000</v>
      </c>
      <c r="F39" s="34">
        <v>1000000</v>
      </c>
      <c r="G39" s="34">
        <v>1000000</v>
      </c>
      <c r="H39" s="34">
        <v>1000000</v>
      </c>
      <c r="I39" s="34">
        <v>1000000</v>
      </c>
      <c r="J39" s="34">
        <v>1000000</v>
      </c>
      <c r="K39" s="34">
        <v>1000000</v>
      </c>
      <c r="L39" s="34">
        <v>1000000</v>
      </c>
      <c r="M39" s="34">
        <v>1000000</v>
      </c>
      <c r="N39" s="34">
        <v>1000000</v>
      </c>
      <c r="O39" s="34">
        <v>1000000</v>
      </c>
      <c r="P39" s="34">
        <v>1000000</v>
      </c>
      <c r="Q39" s="34">
        <v>1000000</v>
      </c>
      <c r="R39" s="34">
        <v>1000000</v>
      </c>
      <c r="S39" s="34">
        <v>1000000</v>
      </c>
      <c r="T39" s="34">
        <v>1000000</v>
      </c>
      <c r="U39" s="34">
        <v>1000000</v>
      </c>
      <c r="V39" s="34">
        <v>1000000</v>
      </c>
      <c r="W39" s="34">
        <v>1000000</v>
      </c>
      <c r="X39" s="34">
        <v>1000000</v>
      </c>
      <c r="Y39" s="34">
        <v>1000000</v>
      </c>
      <c r="Z39" s="34">
        <v>1000000</v>
      </c>
      <c r="AA39" s="34">
        <v>1000000</v>
      </c>
      <c r="AB39" s="34">
        <v>1000000</v>
      </c>
      <c r="AC39" s="34">
        <v>1000000</v>
      </c>
      <c r="AD39" s="34">
        <v>1000000</v>
      </c>
      <c r="AE39" s="34">
        <v>1000000</v>
      </c>
      <c r="AF39" s="34">
        <v>1000000</v>
      </c>
      <c r="AG39" s="34">
        <v>1000000</v>
      </c>
      <c r="AH39" s="34">
        <v>1000000</v>
      </c>
    </row>
    <row r="40" spans="1:35" ht="15" hidden="1" customHeight="1">
      <c r="A40" s="9"/>
      <c r="B40" s="33" t="s">
        <v>120</v>
      </c>
      <c r="C40" s="12"/>
      <c r="D40" s="12"/>
      <c r="E40" s="6">
        <v>3000000</v>
      </c>
      <c r="F40" s="6">
        <v>3000000</v>
      </c>
      <c r="G40" s="6">
        <v>3000000</v>
      </c>
      <c r="H40" s="6">
        <v>3000000</v>
      </c>
      <c r="I40" s="6">
        <v>3000000</v>
      </c>
      <c r="J40" s="6">
        <v>3000000</v>
      </c>
      <c r="K40" s="6">
        <v>3000000</v>
      </c>
      <c r="L40" s="6">
        <v>3000000</v>
      </c>
      <c r="M40" s="6">
        <v>3000000</v>
      </c>
      <c r="N40" s="6">
        <v>3000000</v>
      </c>
      <c r="O40" s="6">
        <v>3000000</v>
      </c>
      <c r="P40" s="6">
        <v>3000000</v>
      </c>
      <c r="Q40" s="6">
        <v>3000000</v>
      </c>
      <c r="R40" s="6">
        <v>3000000</v>
      </c>
      <c r="S40" s="6">
        <v>3000000</v>
      </c>
      <c r="T40" s="6">
        <v>3000000</v>
      </c>
      <c r="U40" s="6">
        <v>3000000</v>
      </c>
      <c r="V40" s="6">
        <v>3000000</v>
      </c>
      <c r="W40" s="6">
        <v>3000000</v>
      </c>
      <c r="X40" s="6">
        <v>3000000</v>
      </c>
      <c r="Y40" s="6">
        <v>3000000</v>
      </c>
      <c r="Z40" s="6">
        <v>3000000</v>
      </c>
      <c r="AA40" s="6">
        <v>3000000</v>
      </c>
      <c r="AB40" s="6">
        <v>3000000</v>
      </c>
      <c r="AC40" s="6">
        <v>3000000</v>
      </c>
      <c r="AD40" s="6">
        <v>3000000</v>
      </c>
      <c r="AE40" s="6">
        <v>3000000</v>
      </c>
      <c r="AF40" s="6">
        <v>3000000</v>
      </c>
      <c r="AG40" s="6">
        <v>3000000</v>
      </c>
      <c r="AH40" s="6">
        <v>3000000</v>
      </c>
    </row>
    <row r="41" spans="1:35">
      <c r="A41" s="9"/>
      <c r="B41" s="25" t="s">
        <v>77</v>
      </c>
      <c r="C41" s="12"/>
      <c r="D41" s="12"/>
      <c r="E41" s="3">
        <f t="shared" ref="E41:AH41" si="10">SUM(E39:E40)</f>
        <v>4000000</v>
      </c>
      <c r="F41" s="3">
        <f t="shared" si="10"/>
        <v>4000000</v>
      </c>
      <c r="G41" s="3">
        <f t="shared" si="10"/>
        <v>4000000</v>
      </c>
      <c r="H41" s="3">
        <f t="shared" si="10"/>
        <v>4000000</v>
      </c>
      <c r="I41" s="3">
        <f t="shared" si="10"/>
        <v>4000000</v>
      </c>
      <c r="J41" s="3">
        <f t="shared" si="10"/>
        <v>4000000</v>
      </c>
      <c r="K41" s="3">
        <f t="shared" si="10"/>
        <v>4000000</v>
      </c>
      <c r="L41" s="3">
        <f t="shared" si="10"/>
        <v>4000000</v>
      </c>
      <c r="M41" s="3">
        <f t="shared" si="10"/>
        <v>4000000</v>
      </c>
      <c r="N41" s="3">
        <f t="shared" si="10"/>
        <v>4000000</v>
      </c>
      <c r="O41" s="3">
        <f t="shared" si="10"/>
        <v>4000000</v>
      </c>
      <c r="P41" s="3">
        <f t="shared" si="10"/>
        <v>4000000</v>
      </c>
      <c r="Q41" s="3">
        <f t="shared" si="10"/>
        <v>4000000</v>
      </c>
      <c r="R41" s="3">
        <f t="shared" si="10"/>
        <v>4000000</v>
      </c>
      <c r="S41" s="3">
        <f t="shared" si="10"/>
        <v>4000000</v>
      </c>
      <c r="T41" s="3">
        <f t="shared" si="10"/>
        <v>4000000</v>
      </c>
      <c r="U41" s="3">
        <f t="shared" si="10"/>
        <v>4000000</v>
      </c>
      <c r="V41" s="3">
        <f t="shared" si="10"/>
        <v>4000000</v>
      </c>
      <c r="W41" s="3">
        <f t="shared" si="10"/>
        <v>4000000</v>
      </c>
      <c r="X41" s="3">
        <f t="shared" si="10"/>
        <v>4000000</v>
      </c>
      <c r="Y41" s="3">
        <f t="shared" si="10"/>
        <v>4000000</v>
      </c>
      <c r="Z41" s="3">
        <f t="shared" si="10"/>
        <v>4000000</v>
      </c>
      <c r="AA41" s="3">
        <f t="shared" si="10"/>
        <v>4000000</v>
      </c>
      <c r="AB41" s="3">
        <f t="shared" si="10"/>
        <v>4000000</v>
      </c>
      <c r="AC41" s="3">
        <f t="shared" si="10"/>
        <v>4000000</v>
      </c>
      <c r="AD41" s="3">
        <f t="shared" si="10"/>
        <v>4000000</v>
      </c>
      <c r="AE41" s="3">
        <f t="shared" si="10"/>
        <v>4000000</v>
      </c>
      <c r="AF41" s="3">
        <f t="shared" si="10"/>
        <v>4000000</v>
      </c>
      <c r="AG41" s="3">
        <f t="shared" si="10"/>
        <v>4000000</v>
      </c>
      <c r="AH41" s="3">
        <f t="shared" si="10"/>
        <v>4000000</v>
      </c>
    </row>
    <row r="42" spans="1:35">
      <c r="A42" s="9"/>
      <c r="B42" s="5"/>
      <c r="C42" s="13"/>
      <c r="D42" s="1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5">
      <c r="A43" s="9" t="s">
        <v>76</v>
      </c>
      <c r="B43" s="9"/>
      <c r="C43" s="9"/>
      <c r="D43" s="9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35">
      <c r="A44" s="9"/>
      <c r="B44" s="25" t="s">
        <v>172</v>
      </c>
      <c r="C44" s="23">
        <f>Assumptions!C14</f>
        <v>0.06</v>
      </c>
      <c r="D44" s="23"/>
      <c r="E44" s="3">
        <v>1000000</v>
      </c>
      <c r="F44" s="3">
        <f t="shared" ref="F44:L44" si="11">(E44*$C$44)+E44</f>
        <v>1060000</v>
      </c>
      <c r="G44" s="3">
        <f t="shared" si="11"/>
        <v>1123600</v>
      </c>
      <c r="H44" s="3">
        <f t="shared" si="11"/>
        <v>1191016</v>
      </c>
      <c r="I44" s="3">
        <f t="shared" si="11"/>
        <v>1262476.96</v>
      </c>
      <c r="J44" s="3">
        <f t="shared" si="11"/>
        <v>1338225.5776</v>
      </c>
      <c r="K44" s="3">
        <f t="shared" si="11"/>
        <v>1418519.1122560001</v>
      </c>
      <c r="L44" s="3">
        <f t="shared" si="11"/>
        <v>1503630.25899136</v>
      </c>
      <c r="M44" s="3">
        <f t="shared" ref="M44:AC44" si="12">((L44+L45+L46+L47+L48+L49+L50+L51+L52+L53+L54)*$C$44)+L56</f>
        <v>1554222.9425308416</v>
      </c>
      <c r="N44" s="3">
        <f t="shared" si="12"/>
        <v>1565848.5471626921</v>
      </c>
      <c r="O44" s="3">
        <f t="shared" si="12"/>
        <v>1575722.8549148538</v>
      </c>
      <c r="P44" s="3">
        <f t="shared" si="12"/>
        <v>1497068.4197498891</v>
      </c>
      <c r="Q44" s="34">
        <f t="shared" si="12"/>
        <v>1408498.7842812305</v>
      </c>
      <c r="R44" s="34">
        <f t="shared" si="12"/>
        <v>1355199.5466831587</v>
      </c>
      <c r="S44" s="34">
        <f t="shared" si="12"/>
        <v>1294568.0798895541</v>
      </c>
      <c r="T44" s="34">
        <f t="shared" si="12"/>
        <v>1177306.5076396849</v>
      </c>
      <c r="U44" s="34">
        <f t="shared" si="12"/>
        <v>1097357.103032161</v>
      </c>
      <c r="V44" s="34">
        <f t="shared" si="12"/>
        <v>956391.29065691424</v>
      </c>
      <c r="W44" s="34">
        <f t="shared" si="12"/>
        <v>747510.4484539649</v>
      </c>
      <c r="X44" s="34">
        <f t="shared" si="12"/>
        <v>518108.82612956758</v>
      </c>
      <c r="Y44" s="34">
        <f t="shared" si="12"/>
        <v>323211.50233047392</v>
      </c>
      <c r="Z44" s="34">
        <f t="shared" si="12"/>
        <v>168031.66574439718</v>
      </c>
      <c r="AA44" s="34">
        <f t="shared" si="12"/>
        <v>58240.430670606082</v>
      </c>
      <c r="AB44" s="34">
        <f t="shared" si="12"/>
        <v>0.19197633816540474</v>
      </c>
      <c r="AC44" s="34">
        <f t="shared" si="12"/>
        <v>0.20349491845532902</v>
      </c>
      <c r="AD44" s="34">
        <v>0</v>
      </c>
      <c r="AE44" s="34">
        <f>((AD44+AD45+AD46+AD47+AD48+AD49+AD50+AD51+AD52+AD53+AD54)*$C$44)+AD56</f>
        <v>0</v>
      </c>
      <c r="AF44" s="34">
        <f>((AE44+AE45+AE46+AE47+AE48+AE49+AE50+AE51+AE52+AE53+AE54)*$C$44)+AE56</f>
        <v>0</v>
      </c>
      <c r="AG44" s="34">
        <f>((AF44+AF45+AF46+AF47+AF48+AF49+AF50+AF51+AF52+AF53+AF54)*$C$44)+AF56</f>
        <v>0</v>
      </c>
      <c r="AH44" s="34">
        <f>((AG44+AG45+AG46+AG47+AG48+AG49+AG50+AG51+AG52+AG53+AG54)*$C$44)+AG56</f>
        <v>0</v>
      </c>
    </row>
    <row r="45" spans="1:35" hidden="1">
      <c r="A45" s="9"/>
      <c r="B45" s="5" t="s">
        <v>156</v>
      </c>
      <c r="C45" s="24" t="s">
        <v>130</v>
      </c>
      <c r="D45" s="24"/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-37382.199999999997</v>
      </c>
      <c r="M45" s="34">
        <f>(L45*Assumptions!$C$8)+L45</f>
        <v>-38503.665999999997</v>
      </c>
      <c r="N45" s="34">
        <f>(M45*Assumptions!$C$8)+M45</f>
        <v>-39658.775979999999</v>
      </c>
      <c r="O45" s="34">
        <f>(N45*Assumptions!$C$8)+N45</f>
        <v>-40848.5392594</v>
      </c>
      <c r="P45" s="34">
        <f>(O45*Assumptions!$C$8)+O45</f>
        <v>-42073.995437181999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</row>
    <row r="46" spans="1:35" hidden="1">
      <c r="A46" s="9"/>
      <c r="B46" s="5" t="s">
        <v>155</v>
      </c>
      <c r="C46" s="24" t="s">
        <v>131</v>
      </c>
      <c r="D46" s="24"/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f>M45</f>
        <v>-38503.665999999997</v>
      </c>
      <c r="N46" s="34">
        <f>(M46*Assumptions!$C$8)+M46</f>
        <v>-39658.775979999999</v>
      </c>
      <c r="O46" s="34">
        <f>(N46*Assumptions!$C$8)+N46</f>
        <v>-40848.5392594</v>
      </c>
      <c r="P46" s="34">
        <f>(O46*Assumptions!$C$8)+O46</f>
        <v>-42073.995437181999</v>
      </c>
      <c r="Q46" s="34">
        <f>(P46*Assumptions!$C$8)+P46</f>
        <v>-43336.215300297459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</row>
    <row r="47" spans="1:35" hidden="1">
      <c r="B47" s="5" t="s">
        <v>157</v>
      </c>
      <c r="C47" s="24" t="s">
        <v>133</v>
      </c>
      <c r="D47" s="24"/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f>O46</f>
        <v>-40848.5392594</v>
      </c>
      <c r="P47" s="34">
        <f>(O47*Assumptions!$C$8)+O47</f>
        <v>-42073.995437181999</v>
      </c>
      <c r="Q47" s="34">
        <f>(P47*Assumptions!$C$8)+P47</f>
        <v>-43336.215300297459</v>
      </c>
      <c r="R47" s="34">
        <f>(Q47*Assumptions!$C$8)+Q47</f>
        <v>-44636.301759306385</v>
      </c>
      <c r="S47" s="34">
        <f>(R47*Assumptions!$C$8)+R47</f>
        <v>-45975.390812085578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</row>
    <row r="48" spans="1:35" hidden="1">
      <c r="A48" s="9"/>
      <c r="B48" s="5" t="s">
        <v>158</v>
      </c>
      <c r="C48" s="24" t="s">
        <v>133</v>
      </c>
      <c r="D48" s="24"/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f>O46</f>
        <v>-40848.5392594</v>
      </c>
      <c r="P48" s="34">
        <f>(O48*Assumptions!$C$8)+O48</f>
        <v>-42073.995437181999</v>
      </c>
      <c r="Q48" s="34">
        <f>(P48*Assumptions!$C$8)+P48</f>
        <v>-43336.215300297459</v>
      </c>
      <c r="R48" s="34">
        <f>(Q48*Assumptions!$C$8)+Q48</f>
        <v>-44636.301759306385</v>
      </c>
      <c r="S48" s="34">
        <f>(R48*Assumptions!$C$8)+R48</f>
        <v>-45975.390812085578</v>
      </c>
      <c r="T48" s="34">
        <v>0</v>
      </c>
      <c r="U48" s="34">
        <f>(T48*Assumptions!$C$8)+T48</f>
        <v>0</v>
      </c>
      <c r="V48" s="34">
        <f>(U48*Assumptions!$C$8)+U48</f>
        <v>0</v>
      </c>
      <c r="W48" s="34">
        <f>(V48*Assumptions!$C$8)+V48</f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</row>
    <row r="49" spans="1:34" hidden="1">
      <c r="A49" s="9"/>
      <c r="B49" s="5" t="s">
        <v>159</v>
      </c>
      <c r="C49" s="24" t="s">
        <v>136</v>
      </c>
      <c r="D49" s="24"/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4">
        <v>0</v>
      </c>
      <c r="R49" s="34">
        <f>R48</f>
        <v>-44636.301759306385</v>
      </c>
      <c r="S49" s="34">
        <f>(R49*Assumptions!$C$8)+R49</f>
        <v>-45975.390812085578</v>
      </c>
      <c r="T49" s="34">
        <f>(S49*Assumptions!$C$8)+S49</f>
        <v>-47354.652536448142</v>
      </c>
      <c r="U49" s="34">
        <f>(T49*Assumptions!$C$8)+T49</f>
        <v>-48775.292112541589</v>
      </c>
      <c r="V49" s="34">
        <f>(U49*Assumptions!$C$8)+U49</f>
        <v>-50238.550875917834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</row>
    <row r="50" spans="1:34" hidden="1">
      <c r="A50" s="9"/>
      <c r="B50" s="5" t="s">
        <v>160</v>
      </c>
      <c r="C50" s="24" t="s">
        <v>137</v>
      </c>
      <c r="D50" s="24"/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4">
        <v>0</v>
      </c>
      <c r="R50" s="34">
        <v>0</v>
      </c>
      <c r="S50" s="34">
        <f>S49</f>
        <v>-45975.390812085578</v>
      </c>
      <c r="T50" s="34">
        <f>(S50*Assumptions!$C$8)+S50</f>
        <v>-47354.652536448142</v>
      </c>
      <c r="U50" s="34">
        <f>(T50*Assumptions!$C$8)+T50</f>
        <v>-48775.292112541589</v>
      </c>
      <c r="V50" s="34">
        <f>(U50*Assumptions!$C$8)+U50</f>
        <v>-50238.550875917834</v>
      </c>
      <c r="W50" s="34">
        <f>(V50*Assumptions!$C$8)+V50</f>
        <v>-51745.707402195367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</row>
    <row r="51" spans="1:34" hidden="1">
      <c r="A51" s="9"/>
      <c r="B51" s="5" t="s">
        <v>161</v>
      </c>
      <c r="C51" s="24" t="s">
        <v>138</v>
      </c>
      <c r="D51" s="24"/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4">
        <v>0</v>
      </c>
      <c r="R51" s="34">
        <v>0</v>
      </c>
      <c r="S51" s="34">
        <v>0</v>
      </c>
      <c r="T51" s="34">
        <f>T50</f>
        <v>-47354.652536448142</v>
      </c>
      <c r="U51" s="34">
        <f>(T51*Assumptions!$C$8)+T51</f>
        <v>-48775.292112541589</v>
      </c>
      <c r="V51" s="34">
        <f>(U51*Assumptions!$C$8)+U51</f>
        <v>-50238.550875917834</v>
      </c>
      <c r="W51" s="34">
        <f>(V51*Assumptions!$C$8)+V51</f>
        <v>-51745.707402195367</v>
      </c>
      <c r="X51" s="34">
        <f>(W51*Assumptions!$C$8)+W51</f>
        <v>-53298.07862426123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</row>
    <row r="52" spans="1:34" hidden="1">
      <c r="A52" s="9"/>
      <c r="B52" s="5" t="s">
        <v>162</v>
      </c>
      <c r="C52" s="24" t="s">
        <v>139</v>
      </c>
      <c r="D52" s="24"/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4">
        <v>0</v>
      </c>
      <c r="R52" s="34">
        <v>0</v>
      </c>
      <c r="S52" s="34">
        <v>0</v>
      </c>
      <c r="T52" s="34">
        <v>0</v>
      </c>
      <c r="U52" s="34">
        <f>U51</f>
        <v>-48775.292112541589</v>
      </c>
      <c r="V52" s="34">
        <f>(U52*Assumptions!$C$8)+U52</f>
        <v>-50238.550875917834</v>
      </c>
      <c r="W52" s="34">
        <f>W51</f>
        <v>-51745.707402195367</v>
      </c>
      <c r="X52" s="34">
        <f>(W52*Assumptions!$C$8)+W52</f>
        <v>-53298.07862426123</v>
      </c>
      <c r="Y52" s="34">
        <f>(X52*Assumptions!$C$8)+X52</f>
        <v>-54897.020982989066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</row>
    <row r="53" spans="1:34" hidden="1">
      <c r="A53" s="9"/>
      <c r="B53" s="5" t="s">
        <v>163</v>
      </c>
      <c r="C53" s="24" t="s">
        <v>140</v>
      </c>
      <c r="D53" s="24"/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f>V52</f>
        <v>-50238.550875917834</v>
      </c>
      <c r="W53" s="34">
        <f>(V53*Assumptions!$C$8)+V53</f>
        <v>-51745.707402195367</v>
      </c>
      <c r="X53" s="34">
        <f>X52</f>
        <v>-53298.07862426123</v>
      </c>
      <c r="Y53" s="34">
        <f>(X53*Assumptions!$C$8)+X53</f>
        <v>-54897.020982989066</v>
      </c>
      <c r="Z53" s="34">
        <f>(Y53*Assumptions!$C$8)+Y53</f>
        <v>-56543.931612478736</v>
      </c>
      <c r="AA53" s="34">
        <v>0</v>
      </c>
      <c r="AB53" s="34">
        <f>(AA53*Assumptions!$C$8)+AA53</f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</row>
    <row r="54" spans="1:34" hidden="1">
      <c r="A54" s="9"/>
      <c r="B54" s="5" t="s">
        <v>164</v>
      </c>
      <c r="C54" s="24" t="s">
        <v>141</v>
      </c>
      <c r="D54" s="24"/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f>W53</f>
        <v>-51745.707402195367</v>
      </c>
      <c r="X54" s="34">
        <f>(W54*Assumptions!$C$8)+W54</f>
        <v>-53298.07862426123</v>
      </c>
      <c r="Y54" s="34">
        <f>Y53</f>
        <v>-54897.020982989066</v>
      </c>
      <c r="Z54" s="34">
        <f>(Y54*Assumptions!$C$8)+Y54</f>
        <v>-56543.931612478736</v>
      </c>
      <c r="AA54" s="34">
        <f>(Z54*Assumptions!$C$8)+Z54</f>
        <v>-58240.249560853095</v>
      </c>
      <c r="AB54" s="34">
        <v>0</v>
      </c>
      <c r="AC54" s="34">
        <f>(AB54*Assumptions!$C$8)+AB54</f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</row>
    <row r="55" spans="1:34" s="33" customFormat="1">
      <c r="A55" s="9"/>
      <c r="B55" s="25" t="s">
        <v>173</v>
      </c>
      <c r="C55" s="24"/>
      <c r="D55" s="24"/>
      <c r="E55" s="34">
        <f>SUM(E45:E54)</f>
        <v>0</v>
      </c>
      <c r="F55" s="34">
        <f t="shared" ref="F55:AH55" si="13">SUM(F45:F54)</f>
        <v>0</v>
      </c>
      <c r="G55" s="34">
        <f t="shared" si="13"/>
        <v>0</v>
      </c>
      <c r="H55" s="34">
        <f t="shared" si="13"/>
        <v>0</v>
      </c>
      <c r="I55" s="34">
        <f t="shared" si="13"/>
        <v>0</v>
      </c>
      <c r="J55" s="34">
        <f t="shared" si="13"/>
        <v>0</v>
      </c>
      <c r="K55" s="34">
        <f t="shared" si="13"/>
        <v>0</v>
      </c>
      <c r="L55" s="34">
        <f t="shared" si="13"/>
        <v>-37382.199999999997</v>
      </c>
      <c r="M55" s="34">
        <f t="shared" si="13"/>
        <v>-77007.331999999995</v>
      </c>
      <c r="N55" s="34">
        <f t="shared" si="13"/>
        <v>-79317.551959999997</v>
      </c>
      <c r="O55" s="34">
        <f t="shared" si="13"/>
        <v>-163394.1570376</v>
      </c>
      <c r="P55" s="34">
        <f t="shared" si="13"/>
        <v>-168295.98174872799</v>
      </c>
      <c r="Q55" s="34">
        <f t="shared" si="13"/>
        <v>-130008.64590089238</v>
      </c>
      <c r="R55" s="34">
        <f t="shared" si="13"/>
        <v>-133908.90527791914</v>
      </c>
      <c r="S55" s="34">
        <f t="shared" si="13"/>
        <v>-183901.56324834231</v>
      </c>
      <c r="T55" s="34">
        <f t="shared" si="13"/>
        <v>-142063.95760934442</v>
      </c>
      <c r="U55" s="34">
        <f t="shared" si="13"/>
        <v>-195101.16845016635</v>
      </c>
      <c r="V55" s="34">
        <f t="shared" si="13"/>
        <v>-251192.75437958917</v>
      </c>
      <c r="W55" s="34">
        <f t="shared" si="13"/>
        <v>-258728.53701097684</v>
      </c>
      <c r="X55" s="34">
        <f t="shared" si="13"/>
        <v>-213192.31449704492</v>
      </c>
      <c r="Y55" s="34">
        <f t="shared" si="13"/>
        <v>-164691.06294896721</v>
      </c>
      <c r="Z55" s="34">
        <f t="shared" si="13"/>
        <v>-113087.86322495747</v>
      </c>
      <c r="AA55" s="34">
        <f t="shared" si="13"/>
        <v>-58240.249560853095</v>
      </c>
      <c r="AB55" s="34">
        <f t="shared" si="13"/>
        <v>0</v>
      </c>
      <c r="AC55" s="34">
        <f t="shared" si="13"/>
        <v>0</v>
      </c>
      <c r="AD55" s="34">
        <f t="shared" si="13"/>
        <v>0</v>
      </c>
      <c r="AE55" s="34">
        <f t="shared" si="13"/>
        <v>0</v>
      </c>
      <c r="AF55" s="34">
        <f t="shared" si="13"/>
        <v>0</v>
      </c>
      <c r="AG55" s="34">
        <f t="shared" si="13"/>
        <v>0</v>
      </c>
      <c r="AH55" s="34">
        <f t="shared" si="13"/>
        <v>0</v>
      </c>
    </row>
    <row r="56" spans="1:34">
      <c r="A56" s="9"/>
      <c r="B56" s="9" t="s">
        <v>74</v>
      </c>
      <c r="C56" s="12"/>
      <c r="D56" s="12"/>
      <c r="E56" s="3">
        <f>SUM(E44:E54)</f>
        <v>1000000</v>
      </c>
      <c r="F56" s="34">
        <f t="shared" ref="F56:AH56" si="14">SUM(F44:F54)</f>
        <v>1060000</v>
      </c>
      <c r="G56" s="34">
        <f t="shared" si="14"/>
        <v>1123600</v>
      </c>
      <c r="H56" s="34">
        <f t="shared" si="14"/>
        <v>1191016</v>
      </c>
      <c r="I56" s="34">
        <f t="shared" si="14"/>
        <v>1262476.96</v>
      </c>
      <c r="J56" s="34">
        <f t="shared" si="14"/>
        <v>1338225.5776</v>
      </c>
      <c r="K56" s="34">
        <f t="shared" si="14"/>
        <v>1418519.1122560001</v>
      </c>
      <c r="L56" s="34">
        <f t="shared" si="14"/>
        <v>1466248.05899136</v>
      </c>
      <c r="M56" s="34">
        <f t="shared" si="14"/>
        <v>1477215.6105308416</v>
      </c>
      <c r="N56" s="34">
        <f t="shared" si="14"/>
        <v>1486530.9952026922</v>
      </c>
      <c r="O56" s="34">
        <f t="shared" si="14"/>
        <v>1412328.6978772539</v>
      </c>
      <c r="P56" s="34">
        <f t="shared" si="14"/>
        <v>1328772.438001161</v>
      </c>
      <c r="Q56" s="34">
        <f t="shared" si="14"/>
        <v>1278490.1383803384</v>
      </c>
      <c r="R56" s="34">
        <f t="shared" si="14"/>
        <v>1221290.6414052397</v>
      </c>
      <c r="S56" s="34">
        <f t="shared" si="14"/>
        <v>1110666.5166412122</v>
      </c>
      <c r="T56" s="34">
        <f t="shared" si="14"/>
        <v>1035242.5500303407</v>
      </c>
      <c r="U56" s="34">
        <f t="shared" si="14"/>
        <v>902255.93458199454</v>
      </c>
      <c r="V56" s="34">
        <f t="shared" si="14"/>
        <v>705198.53627732536</v>
      </c>
      <c r="W56" s="34">
        <f t="shared" si="14"/>
        <v>488781.91144298826</v>
      </c>
      <c r="X56" s="34">
        <f t="shared" si="14"/>
        <v>304916.51163252257</v>
      </c>
      <c r="Y56" s="34">
        <f t="shared" si="14"/>
        <v>158520.43938150676</v>
      </c>
      <c r="Z56" s="34">
        <f t="shared" si="14"/>
        <v>54943.802519439698</v>
      </c>
      <c r="AA56" s="34">
        <f t="shared" si="14"/>
        <v>0.18110975298623089</v>
      </c>
      <c r="AB56" s="34">
        <f t="shared" si="14"/>
        <v>0.19197633816540474</v>
      </c>
      <c r="AC56" s="34">
        <f t="shared" si="14"/>
        <v>0.20349491845532902</v>
      </c>
      <c r="AD56" s="34">
        <f t="shared" si="14"/>
        <v>0</v>
      </c>
      <c r="AE56" s="34">
        <f t="shared" si="14"/>
        <v>0</v>
      </c>
      <c r="AF56" s="34">
        <f t="shared" si="14"/>
        <v>0</v>
      </c>
      <c r="AG56" s="34">
        <f t="shared" si="14"/>
        <v>0</v>
      </c>
      <c r="AH56" s="34">
        <f t="shared" si="14"/>
        <v>0</v>
      </c>
    </row>
    <row r="57" spans="1:34" s="33" customFormat="1" ht="10.5" customHeight="1">
      <c r="A57" s="9"/>
      <c r="B57" s="5"/>
      <c r="C57" s="13"/>
      <c r="D57" s="13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>
      <c r="A58" s="9"/>
      <c r="B58" s="9" t="s">
        <v>201</v>
      </c>
      <c r="C58" s="9"/>
      <c r="D58" s="9"/>
      <c r="E58" s="6">
        <f>E41+E56</f>
        <v>5000000</v>
      </c>
      <c r="F58" s="6">
        <f t="shared" ref="F58:AH58" si="15">F41+F56</f>
        <v>5060000</v>
      </c>
      <c r="G58" s="6">
        <f t="shared" si="15"/>
        <v>5123600</v>
      </c>
      <c r="H58" s="6">
        <f t="shared" si="15"/>
        <v>5191016</v>
      </c>
      <c r="I58" s="6">
        <f t="shared" si="15"/>
        <v>5262476.96</v>
      </c>
      <c r="J58" s="6">
        <f t="shared" si="15"/>
        <v>5338225.5776000004</v>
      </c>
      <c r="K58" s="6">
        <f t="shared" si="15"/>
        <v>5418519.1122559998</v>
      </c>
      <c r="L58" s="6">
        <f t="shared" si="15"/>
        <v>5466248.0589913595</v>
      </c>
      <c r="M58" s="6">
        <f t="shared" si="15"/>
        <v>5477215.6105308421</v>
      </c>
      <c r="N58" s="6">
        <f t="shared" si="15"/>
        <v>5486530.9952026922</v>
      </c>
      <c r="O58" s="6">
        <f t="shared" si="15"/>
        <v>5412328.6978772543</v>
      </c>
      <c r="P58" s="6">
        <f t="shared" si="15"/>
        <v>5328772.4380011614</v>
      </c>
      <c r="Q58" s="6">
        <f t="shared" si="15"/>
        <v>5278490.1383803384</v>
      </c>
      <c r="R58" s="6">
        <f t="shared" si="15"/>
        <v>5221290.6414052397</v>
      </c>
      <c r="S58" s="6">
        <f t="shared" si="15"/>
        <v>5110666.5166412126</v>
      </c>
      <c r="T58" s="6">
        <f t="shared" si="15"/>
        <v>5035242.5500303404</v>
      </c>
      <c r="U58" s="6">
        <f t="shared" si="15"/>
        <v>4902255.934581995</v>
      </c>
      <c r="V58" s="6">
        <f t="shared" si="15"/>
        <v>4705198.5362773258</v>
      </c>
      <c r="W58" s="6">
        <f t="shared" si="15"/>
        <v>4488781.9114429886</v>
      </c>
      <c r="X58" s="6">
        <f t="shared" si="15"/>
        <v>4304916.5116325226</v>
      </c>
      <c r="Y58" s="6">
        <f t="shared" si="15"/>
        <v>4158520.4393815068</v>
      </c>
      <c r="Z58" s="6">
        <f t="shared" si="15"/>
        <v>4054943.8025194397</v>
      </c>
      <c r="AA58" s="6">
        <f t="shared" si="15"/>
        <v>4000000.181109753</v>
      </c>
      <c r="AB58" s="6">
        <f t="shared" si="15"/>
        <v>4000000.1919763382</v>
      </c>
      <c r="AC58" s="6">
        <f t="shared" si="15"/>
        <v>4000000.2034949185</v>
      </c>
      <c r="AD58" s="6">
        <f t="shared" si="15"/>
        <v>4000000</v>
      </c>
      <c r="AE58" s="6">
        <f t="shared" si="15"/>
        <v>4000000</v>
      </c>
      <c r="AF58" s="6">
        <f t="shared" si="15"/>
        <v>4000000</v>
      </c>
      <c r="AG58" s="6">
        <f t="shared" si="15"/>
        <v>4000000</v>
      </c>
      <c r="AH58" s="6">
        <f t="shared" si="15"/>
        <v>4000000</v>
      </c>
    </row>
    <row r="59" spans="1:34" ht="8.25" customHeight="1">
      <c r="A59" s="9"/>
      <c r="B59" s="9"/>
      <c r="C59" s="9"/>
      <c r="D59" s="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5" thickBot="1">
      <c r="A60" s="9" t="s">
        <v>73</v>
      </c>
      <c r="B60" s="9"/>
      <c r="C60" s="9"/>
      <c r="D60" s="9"/>
      <c r="E60" s="37">
        <f t="shared" ref="E60:AH60" si="16">E27+E58</f>
        <v>12950000</v>
      </c>
      <c r="F60" s="31">
        <f t="shared" si="16"/>
        <v>13596730</v>
      </c>
      <c r="G60" s="31">
        <f t="shared" si="16"/>
        <v>14273328.199999999</v>
      </c>
      <c r="H60" s="31">
        <f t="shared" si="16"/>
        <v>14980768.6865</v>
      </c>
      <c r="I60" s="31">
        <f t="shared" si="16"/>
        <v>15721271.465087499</v>
      </c>
      <c r="J60" s="31">
        <f t="shared" si="16"/>
        <v>16496589.177626237</v>
      </c>
      <c r="K60" s="31">
        <f t="shared" si="16"/>
        <v>17064271.187998369</v>
      </c>
      <c r="L60" s="31">
        <f t="shared" si="16"/>
        <v>17642928.914857641</v>
      </c>
      <c r="M60" s="31">
        <f t="shared" si="16"/>
        <v>18210986.970434751</v>
      </c>
      <c r="N60" s="31">
        <f t="shared" si="16"/>
        <v>18805006.310231544</v>
      </c>
      <c r="O60" s="31">
        <f t="shared" si="16"/>
        <v>19345257.533057779</v>
      </c>
      <c r="P60" s="31">
        <f t="shared" si="16"/>
        <v>19907558.521956742</v>
      </c>
      <c r="Q60" s="31">
        <f t="shared" si="16"/>
        <v>20536289.504844237</v>
      </c>
      <c r="R60" s="31">
        <f t="shared" si="16"/>
        <v>21193166.034900963</v>
      </c>
      <c r="S60" s="31">
        <f t="shared" si="16"/>
        <v>21833605.544170961</v>
      </c>
      <c r="T60" s="31">
        <f t="shared" si="16"/>
        <v>22548376.135363709</v>
      </c>
      <c r="U60" s="31">
        <f t="shared" si="16"/>
        <v>23246939.963564087</v>
      </c>
      <c r="V60" s="31">
        <f t="shared" si="16"/>
        <v>23925145.593663804</v>
      </c>
      <c r="W60" s="31">
        <f t="shared" si="16"/>
        <v>24630203.553313836</v>
      </c>
      <c r="X60" s="31">
        <f t="shared" si="16"/>
        <v>25416674.578891851</v>
      </c>
      <c r="Y60" s="31">
        <f t="shared" si="16"/>
        <v>26292287.904758357</v>
      </c>
      <c r="Z60" s="31">
        <f t="shared" si="16"/>
        <v>27265482.865342733</v>
      </c>
      <c r="AA60" s="31">
        <f t="shared" si="16"/>
        <v>28407567.966443129</v>
      </c>
      <c r="AB60" s="31">
        <f t="shared" si="16"/>
        <v>29671131.624155499</v>
      </c>
      <c r="AC60" s="31">
        <f t="shared" si="16"/>
        <v>31005189.482909705</v>
      </c>
      <c r="AD60" s="31">
        <f t="shared" si="16"/>
        <v>32413946.656157177</v>
      </c>
      <c r="AE60" s="31">
        <f t="shared" si="16"/>
        <v>33902037.477217034</v>
      </c>
      <c r="AF60" s="31">
        <f t="shared" si="16"/>
        <v>35474249.171315044</v>
      </c>
      <c r="AG60" s="31">
        <f t="shared" si="16"/>
        <v>37135657.541740119</v>
      </c>
      <c r="AH60" s="31">
        <f t="shared" si="16"/>
        <v>38891656.967072465</v>
      </c>
    </row>
    <row r="61" spans="1:34" ht="6.75" customHeight="1" thickTop="1"/>
    <row r="62" spans="1:34">
      <c r="A62" s="33" t="s">
        <v>96</v>
      </c>
      <c r="E62" s="34">
        <v>9000000</v>
      </c>
      <c r="F62" s="34">
        <f>E62*(1+Assumptions!$C$8)</f>
        <v>9270000</v>
      </c>
      <c r="G62" s="34">
        <f>F62*(1+Assumptions!$C$8)</f>
        <v>9548100</v>
      </c>
      <c r="H62" s="34">
        <f>G62*(1+Assumptions!$C$8)</f>
        <v>9834543</v>
      </c>
      <c r="I62" s="34">
        <f>H62*(1+Assumptions!$C$8)</f>
        <v>10129579.290000001</v>
      </c>
      <c r="J62" s="34">
        <f>I62*(1+Assumptions!$C$8)</f>
        <v>10433466.668700002</v>
      </c>
      <c r="K62" s="34">
        <f>J62*(1+Assumptions!$C$8)</f>
        <v>10746470.668761002</v>
      </c>
      <c r="L62" s="34">
        <f>K62*(1+Assumptions!$C$8)</f>
        <v>11068864.788823832</v>
      </c>
      <c r="M62" s="34">
        <f>L62*(1+Assumptions!$C$8)</f>
        <v>11400930.732488547</v>
      </c>
      <c r="N62" s="34">
        <f>M62*(1+Assumptions!$C$8)</f>
        <v>11742958.654463204</v>
      </c>
      <c r="O62" s="34">
        <f>N62*(1+Assumptions!$C$8)</f>
        <v>12095247.4140971</v>
      </c>
      <c r="P62" s="34">
        <f>O62*(1+Assumptions!$C$8)</f>
        <v>12458104.836520014</v>
      </c>
      <c r="Q62" s="34">
        <f>P62*(1+Assumptions!$C$8)</f>
        <v>12831847.981615616</v>
      </c>
      <c r="R62" s="34">
        <f>Q62*(1+Assumptions!$C$8)</f>
        <v>13216803.421064084</v>
      </c>
      <c r="S62" s="34">
        <f>R62*(1+Assumptions!$C$8)</f>
        <v>13613307.523696007</v>
      </c>
      <c r="T62" s="34">
        <f>S62*(1+Assumptions!$C$8)</f>
        <v>14021706.749406887</v>
      </c>
      <c r="U62" s="34">
        <f>T62*(1+Assumptions!$C$8)</f>
        <v>14442357.951889094</v>
      </c>
      <c r="V62" s="34">
        <f>U62*(1+Assumptions!$C$8)</f>
        <v>14875628.690445768</v>
      </c>
      <c r="W62" s="34">
        <f>V62*(1+Assumptions!$C$8)</f>
        <v>15321897.551159142</v>
      </c>
      <c r="X62" s="34">
        <f>W62*(1+Assumptions!$C$8)</f>
        <v>15781554.477693915</v>
      </c>
      <c r="Y62" s="34">
        <f>X62*(1+Assumptions!$C$8)</f>
        <v>16255001.112024734</v>
      </c>
      <c r="Z62" s="34">
        <f>Y62*(1+Assumptions!$C$8)</f>
        <v>16742651.145385476</v>
      </c>
      <c r="AA62" s="34">
        <f>Z62*(1+Assumptions!$C$8)</f>
        <v>17244930.679747041</v>
      </c>
      <c r="AB62" s="34">
        <f>AA62*(1+Assumptions!$C$8)</f>
        <v>17762278.600139454</v>
      </c>
      <c r="AC62" s="34">
        <f>AB62*(1+Assumptions!$C$8)</f>
        <v>18295146.958143637</v>
      </c>
      <c r="AD62" s="34">
        <f>AC62*(1+Assumptions!$C$8)</f>
        <v>18844001.366887946</v>
      </c>
      <c r="AE62" s="34">
        <f>AD62*(1+Assumptions!$C$8)</f>
        <v>19409321.407894585</v>
      </c>
      <c r="AF62" s="34">
        <f>AE62*(1+Assumptions!$C$8)</f>
        <v>19991601.050131422</v>
      </c>
      <c r="AG62" s="34">
        <f>AF62*(1+Assumptions!$C$8)</f>
        <v>20591349.081635363</v>
      </c>
      <c r="AH62" s="34">
        <f>AG62*(1+Assumptions!$C$8)</f>
        <v>21209089.554084424</v>
      </c>
    </row>
    <row r="63" spans="1:34" s="33" customFormat="1" ht="6" customHeight="1"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</row>
    <row r="64" spans="1:34" s="33" customFormat="1">
      <c r="A64" s="33" t="s">
        <v>87</v>
      </c>
      <c r="E64" s="34">
        <f t="shared" ref="E64:AH64" si="17">E41</f>
        <v>4000000</v>
      </c>
      <c r="F64" s="34">
        <f t="shared" si="17"/>
        <v>4000000</v>
      </c>
      <c r="G64" s="34">
        <f t="shared" si="17"/>
        <v>4000000</v>
      </c>
      <c r="H64" s="34">
        <f t="shared" si="17"/>
        <v>4000000</v>
      </c>
      <c r="I64" s="34">
        <f t="shared" si="17"/>
        <v>4000000</v>
      </c>
      <c r="J64" s="34">
        <f t="shared" si="17"/>
        <v>4000000</v>
      </c>
      <c r="K64" s="34">
        <f t="shared" si="17"/>
        <v>4000000</v>
      </c>
      <c r="L64" s="34">
        <f t="shared" si="17"/>
        <v>4000000</v>
      </c>
      <c r="M64" s="34">
        <f t="shared" si="17"/>
        <v>4000000</v>
      </c>
      <c r="N64" s="34">
        <f t="shared" si="17"/>
        <v>4000000</v>
      </c>
      <c r="O64" s="34">
        <f t="shared" si="17"/>
        <v>4000000</v>
      </c>
      <c r="P64" s="34">
        <f t="shared" si="17"/>
        <v>4000000</v>
      </c>
      <c r="Q64" s="34">
        <f t="shared" si="17"/>
        <v>4000000</v>
      </c>
      <c r="R64" s="34">
        <f t="shared" si="17"/>
        <v>4000000</v>
      </c>
      <c r="S64" s="34">
        <f t="shared" si="17"/>
        <v>4000000</v>
      </c>
      <c r="T64" s="34">
        <f t="shared" si="17"/>
        <v>4000000</v>
      </c>
      <c r="U64" s="34">
        <f t="shared" si="17"/>
        <v>4000000</v>
      </c>
      <c r="V64" s="34">
        <f t="shared" si="17"/>
        <v>4000000</v>
      </c>
      <c r="W64" s="34">
        <f t="shared" si="17"/>
        <v>4000000</v>
      </c>
      <c r="X64" s="34">
        <f t="shared" si="17"/>
        <v>4000000</v>
      </c>
      <c r="Y64" s="34">
        <f t="shared" si="17"/>
        <v>4000000</v>
      </c>
      <c r="Z64" s="34">
        <f t="shared" si="17"/>
        <v>4000000</v>
      </c>
      <c r="AA64" s="34">
        <f t="shared" si="17"/>
        <v>4000000</v>
      </c>
      <c r="AB64" s="34">
        <f t="shared" si="17"/>
        <v>4000000</v>
      </c>
      <c r="AC64" s="34">
        <f t="shared" si="17"/>
        <v>4000000</v>
      </c>
      <c r="AD64" s="34">
        <f t="shared" si="17"/>
        <v>4000000</v>
      </c>
      <c r="AE64" s="34">
        <f t="shared" si="17"/>
        <v>4000000</v>
      </c>
      <c r="AF64" s="34">
        <f t="shared" si="17"/>
        <v>4000000</v>
      </c>
      <c r="AG64" s="34">
        <f t="shared" si="17"/>
        <v>4000000</v>
      </c>
      <c r="AH64" s="34">
        <f t="shared" si="17"/>
        <v>4000000</v>
      </c>
    </row>
    <row r="65" spans="1:34" s="33" customFormat="1">
      <c r="A65" s="33" t="s">
        <v>86</v>
      </c>
      <c r="E65" s="34">
        <f t="shared" ref="E65:AH65" si="18">E62-E41</f>
        <v>5000000</v>
      </c>
      <c r="F65" s="34">
        <f t="shared" si="18"/>
        <v>5270000</v>
      </c>
      <c r="G65" s="34">
        <f t="shared" si="18"/>
        <v>5548100</v>
      </c>
      <c r="H65" s="34">
        <f t="shared" si="18"/>
        <v>5834543</v>
      </c>
      <c r="I65" s="34">
        <f t="shared" si="18"/>
        <v>6129579.290000001</v>
      </c>
      <c r="J65" s="34">
        <f t="shared" si="18"/>
        <v>6433466.6687000021</v>
      </c>
      <c r="K65" s="34">
        <f t="shared" si="18"/>
        <v>6746470.6687610019</v>
      </c>
      <c r="L65" s="34">
        <f t="shared" si="18"/>
        <v>7068864.7888238318</v>
      </c>
      <c r="M65" s="34">
        <f t="shared" si="18"/>
        <v>7400930.7324885465</v>
      </c>
      <c r="N65" s="34">
        <f t="shared" si="18"/>
        <v>7742958.6544632036</v>
      </c>
      <c r="O65" s="34">
        <f t="shared" si="18"/>
        <v>8095247.4140971005</v>
      </c>
      <c r="P65" s="34">
        <f t="shared" si="18"/>
        <v>8458104.8365200143</v>
      </c>
      <c r="Q65" s="34">
        <f t="shared" si="18"/>
        <v>8831847.981615616</v>
      </c>
      <c r="R65" s="34">
        <f t="shared" si="18"/>
        <v>9216803.4210640844</v>
      </c>
      <c r="S65" s="34">
        <f t="shared" si="18"/>
        <v>9613307.5236960072</v>
      </c>
      <c r="T65" s="34">
        <f t="shared" si="18"/>
        <v>10021706.749406887</v>
      </c>
      <c r="U65" s="34">
        <f t="shared" si="18"/>
        <v>10442357.951889094</v>
      </c>
      <c r="V65" s="34">
        <f t="shared" si="18"/>
        <v>10875628.690445768</v>
      </c>
      <c r="W65" s="34">
        <f t="shared" si="18"/>
        <v>11321897.551159142</v>
      </c>
      <c r="X65" s="34">
        <f t="shared" si="18"/>
        <v>11781554.477693915</v>
      </c>
      <c r="Y65" s="34">
        <f t="shared" si="18"/>
        <v>12255001.112024734</v>
      </c>
      <c r="Z65" s="34">
        <f t="shared" si="18"/>
        <v>12742651.145385476</v>
      </c>
      <c r="AA65" s="34">
        <f t="shared" si="18"/>
        <v>13244930.679747041</v>
      </c>
      <c r="AB65" s="34">
        <f t="shared" si="18"/>
        <v>13762278.600139454</v>
      </c>
      <c r="AC65" s="34">
        <f t="shared" si="18"/>
        <v>14295146.958143637</v>
      </c>
      <c r="AD65" s="34">
        <f t="shared" si="18"/>
        <v>14844001.366887946</v>
      </c>
      <c r="AE65" s="34">
        <f t="shared" si="18"/>
        <v>15409321.407894585</v>
      </c>
      <c r="AF65" s="34">
        <f t="shared" si="18"/>
        <v>15991601.050131422</v>
      </c>
      <c r="AG65" s="34">
        <f t="shared" si="18"/>
        <v>16591349.081635363</v>
      </c>
      <c r="AH65" s="34">
        <f t="shared" si="18"/>
        <v>17209089.554084424</v>
      </c>
    </row>
    <row r="66" spans="1:34" ht="10.5" customHeight="1">
      <c r="A66" s="33"/>
      <c r="L66" s="3"/>
    </row>
    <row r="67" spans="1:34">
      <c r="A67" s="33" t="s">
        <v>84</v>
      </c>
      <c r="E67" s="34">
        <f t="shared" ref="E67:AH67" si="19">E27-E65</f>
        <v>2950000</v>
      </c>
      <c r="F67" s="34">
        <f t="shared" si="19"/>
        <v>3266730</v>
      </c>
      <c r="G67" s="34">
        <f t="shared" si="19"/>
        <v>3601628.1999999993</v>
      </c>
      <c r="H67" s="34">
        <f t="shared" si="19"/>
        <v>3955209.6864999998</v>
      </c>
      <c r="I67" s="34">
        <f t="shared" si="19"/>
        <v>4329215.2150874976</v>
      </c>
      <c r="J67" s="34">
        <f t="shared" si="19"/>
        <v>4724896.9313262347</v>
      </c>
      <c r="K67" s="34">
        <f t="shared" si="19"/>
        <v>4899281.4069813676</v>
      </c>
      <c r="L67" s="34">
        <f t="shared" si="19"/>
        <v>5107816.0670424476</v>
      </c>
      <c r="M67" s="34">
        <f t="shared" si="19"/>
        <v>5332840.6274153627</v>
      </c>
      <c r="N67" s="34">
        <f t="shared" si="19"/>
        <v>5575516.6605656501</v>
      </c>
      <c r="O67" s="34">
        <f t="shared" si="19"/>
        <v>5837681.4210834242</v>
      </c>
      <c r="P67" s="34">
        <f t="shared" si="19"/>
        <v>6120681.2474355642</v>
      </c>
      <c r="Q67" s="34">
        <f t="shared" si="19"/>
        <v>6425951.3848482836</v>
      </c>
      <c r="R67" s="34">
        <f t="shared" si="19"/>
        <v>6755071.9724316373</v>
      </c>
      <c r="S67" s="34">
        <f t="shared" si="19"/>
        <v>7109631.5038337428</v>
      </c>
      <c r="T67" s="34">
        <f t="shared" si="19"/>
        <v>7491426.8359264825</v>
      </c>
      <c r="U67" s="34">
        <f t="shared" si="19"/>
        <v>7902326.0770929977</v>
      </c>
      <c r="V67" s="34">
        <f t="shared" si="19"/>
        <v>8344318.3669407088</v>
      </c>
      <c r="W67" s="34">
        <f t="shared" si="19"/>
        <v>8819524.0907117072</v>
      </c>
      <c r="X67" s="34">
        <f t="shared" si="19"/>
        <v>9330203.5895654112</v>
      </c>
      <c r="Y67" s="34">
        <f t="shared" si="19"/>
        <v>9878766.3533521164</v>
      </c>
      <c r="Z67" s="34">
        <f t="shared" si="19"/>
        <v>10467887.917437816</v>
      </c>
      <c r="AA67" s="34">
        <f t="shared" si="19"/>
        <v>11162637.105586335</v>
      </c>
      <c r="AB67" s="34">
        <f t="shared" si="19"/>
        <v>11908852.832039706</v>
      </c>
      <c r="AC67" s="34">
        <f t="shared" si="19"/>
        <v>12710042.321271151</v>
      </c>
      <c r="AD67" s="34">
        <f t="shared" si="19"/>
        <v>13569945.289269231</v>
      </c>
      <c r="AE67" s="34">
        <f t="shared" si="19"/>
        <v>14492716.069322444</v>
      </c>
      <c r="AF67" s="34">
        <f t="shared" si="19"/>
        <v>15482648.121183623</v>
      </c>
      <c r="AG67" s="34">
        <f t="shared" si="19"/>
        <v>16544308.46010476</v>
      </c>
      <c r="AH67" s="34">
        <f t="shared" si="19"/>
        <v>17682567.412988041</v>
      </c>
    </row>
    <row r="68" spans="1:34">
      <c r="L68" s="2"/>
      <c r="M68" s="3"/>
    </row>
    <row r="69" spans="1:34" hidden="1">
      <c r="A69" t="s">
        <v>85</v>
      </c>
      <c r="E69" s="34">
        <f t="shared" ref="E69:AH69" si="20">E32-(E27-E67)</f>
        <v>3830000</v>
      </c>
      <c r="F69" s="34">
        <f t="shared" si="20"/>
        <v>3824900</v>
      </c>
      <c r="G69" s="34">
        <f t="shared" si="20"/>
        <v>3819647</v>
      </c>
      <c r="H69" s="34">
        <f t="shared" si="20"/>
        <v>3814236.41</v>
      </c>
      <c r="I69" s="34">
        <f t="shared" si="20"/>
        <v>3808663.5022999998</v>
      </c>
      <c r="J69" s="34">
        <f t="shared" si="20"/>
        <v>3802923.407368999</v>
      </c>
      <c r="K69" s="34">
        <f t="shared" si="20"/>
        <v>3797011.1095900685</v>
      </c>
      <c r="L69" s="34">
        <f t="shared" si="20"/>
        <v>3790921.4428777713</v>
      </c>
      <c r="M69" s="34">
        <f t="shared" si="20"/>
        <v>3784649.0861641038</v>
      </c>
      <c r="N69" s="34">
        <f t="shared" si="20"/>
        <v>3778188.5587490257</v>
      </c>
      <c r="O69" s="34">
        <f t="shared" si="20"/>
        <v>3771534.2155114952</v>
      </c>
      <c r="P69" s="34">
        <f t="shared" si="20"/>
        <v>3764680.2419768404</v>
      </c>
      <c r="Q69" s="34">
        <f t="shared" si="20"/>
        <v>3757620.6492361445</v>
      </c>
      <c r="R69" s="34">
        <f t="shared" si="20"/>
        <v>3750349.2687132284</v>
      </c>
      <c r="S69" s="34">
        <f t="shared" si="20"/>
        <v>3742859.746774625</v>
      </c>
      <c r="T69" s="34">
        <f t="shared" si="20"/>
        <v>3735145.5391778648</v>
      </c>
      <c r="U69" s="34">
        <f t="shared" si="20"/>
        <v>3727199.9053531997</v>
      </c>
      <c r="V69" s="34">
        <f t="shared" si="20"/>
        <v>3719015.9025137965</v>
      </c>
      <c r="W69" s="34">
        <f t="shared" si="20"/>
        <v>3710586.3795892093</v>
      </c>
      <c r="X69" s="34">
        <f t="shared" si="20"/>
        <v>3701903.9709768854</v>
      </c>
      <c r="Y69" s="34">
        <f t="shared" si="20"/>
        <v>3692961.0901061911</v>
      </c>
      <c r="Z69" s="34">
        <f t="shared" si="20"/>
        <v>3683749.9228093773</v>
      </c>
      <c r="AA69" s="34">
        <f t="shared" si="20"/>
        <v>3674262.4204936586</v>
      </c>
      <c r="AB69" s="34">
        <f t="shared" si="20"/>
        <v>3664490.2931084633</v>
      </c>
      <c r="AC69" s="34">
        <f t="shared" si="20"/>
        <v>3654425.0019017197</v>
      </c>
      <c r="AD69" s="34">
        <f t="shared" si="20"/>
        <v>3644057.7519587688</v>
      </c>
      <c r="AE69" s="34">
        <f t="shared" si="20"/>
        <v>3633379.4845175333</v>
      </c>
      <c r="AF69" s="34">
        <f t="shared" si="20"/>
        <v>3622380.8690530621</v>
      </c>
      <c r="AG69" s="34">
        <f t="shared" si="20"/>
        <v>3611052.2951246537</v>
      </c>
      <c r="AH69" s="34">
        <f t="shared" si="20"/>
        <v>3599383.8639783934</v>
      </c>
    </row>
    <row r="71" spans="1:34">
      <c r="E71" s="34"/>
    </row>
    <row r="72" spans="1:34">
      <c r="E72" s="4"/>
    </row>
    <row r="81" spans="5:5">
      <c r="E81" s="34"/>
    </row>
    <row r="82" spans="5:5">
      <c r="E82" s="34"/>
    </row>
  </sheetData>
  <pageMargins left="0.7" right="0.7" top="0.75" bottom="0.75" header="0.3" footer="0.3"/>
  <pageSetup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19.83203125" bestFit="1" customWidth="1"/>
    <col min="3" max="3" width="10.5" bestFit="1" customWidth="1"/>
  </cols>
  <sheetData>
    <row r="1" spans="1:3">
      <c r="A1" t="s">
        <v>110</v>
      </c>
    </row>
    <row r="2" spans="1:3">
      <c r="A2" s="62" t="s">
        <v>111</v>
      </c>
    </row>
    <row r="3" spans="1:3" s="33" customFormat="1">
      <c r="A3" s="48" t="s">
        <v>153</v>
      </c>
    </row>
    <row r="5" spans="1:3">
      <c r="A5" s="29" t="s">
        <v>102</v>
      </c>
    </row>
    <row r="7" spans="1:3">
      <c r="A7" t="s">
        <v>103</v>
      </c>
      <c r="C7" s="34">
        <f>'Balance Sheet'!E7</f>
        <v>200000</v>
      </c>
    </row>
    <row r="8" spans="1:3">
      <c r="A8" t="s">
        <v>19</v>
      </c>
      <c r="C8" s="34">
        <f>'Balance Sheet'!E8</f>
        <v>200000</v>
      </c>
    </row>
    <row r="9" spans="1:3">
      <c r="A9" s="33" t="s">
        <v>174</v>
      </c>
      <c r="C9" s="34">
        <f>'Balance Sheet'!E11</f>
        <v>3500000</v>
      </c>
    </row>
    <row r="10" spans="1:3">
      <c r="A10" t="s">
        <v>176</v>
      </c>
      <c r="C10" s="34">
        <f>'Balance Sheet'!E24</f>
        <v>2500000</v>
      </c>
    </row>
    <row r="11" spans="1:3">
      <c r="A11" t="s">
        <v>170</v>
      </c>
      <c r="C11" s="34">
        <f>'Balance Sheet'!E14</f>
        <v>1000000</v>
      </c>
    </row>
    <row r="12" spans="1:3" hidden="1">
      <c r="A12" t="s">
        <v>20</v>
      </c>
      <c r="C12" s="34">
        <f>'Balance Sheet'!E15</f>
        <v>0</v>
      </c>
    </row>
    <row r="13" spans="1:3" hidden="1">
      <c r="A13" t="s">
        <v>21</v>
      </c>
      <c r="C13" s="34">
        <f>'Balance Sheet'!E16</f>
        <v>0</v>
      </c>
    </row>
    <row r="14" spans="1:3">
      <c r="A14" t="s">
        <v>104</v>
      </c>
      <c r="C14" s="34">
        <f>'Balance Sheet'!E19</f>
        <v>500000</v>
      </c>
    </row>
    <row r="15" spans="1:3">
      <c r="A15" t="s">
        <v>15</v>
      </c>
      <c r="C15" s="6">
        <f>'Balance Sheet'!E20</f>
        <v>50000</v>
      </c>
    </row>
    <row r="17" spans="1:3">
      <c r="A17" t="s">
        <v>105</v>
      </c>
      <c r="C17" s="19">
        <f>SUM(C7:C16)</f>
        <v>7950000</v>
      </c>
    </row>
    <row r="19" spans="1:3">
      <c r="A19" s="29" t="s">
        <v>106</v>
      </c>
    </row>
    <row r="21" spans="1:3">
      <c r="A21" t="s">
        <v>107</v>
      </c>
      <c r="C21" s="47">
        <f>10000</f>
        <v>10000</v>
      </c>
    </row>
    <row r="23" spans="1:3">
      <c r="A23" t="s">
        <v>108</v>
      </c>
      <c r="C23" s="2">
        <f>SUM(C21:C22)</f>
        <v>10000</v>
      </c>
    </row>
    <row r="25" spans="1:3" ht="15" thickBot="1">
      <c r="A25" s="29" t="s">
        <v>109</v>
      </c>
      <c r="C25" s="46">
        <f>C17-C23</f>
        <v>7940000</v>
      </c>
    </row>
    <row r="26" spans="1:3" ht="15" thickTop="1"/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3"/>
  <sheetViews>
    <sheetView topLeftCell="A12" zoomScale="110" zoomScaleNormal="110" zoomScalePageLayoutView="110" workbookViewId="0">
      <selection activeCell="B61" sqref="B61"/>
    </sheetView>
  </sheetViews>
  <sheetFormatPr baseColWidth="10" defaultColWidth="8.83203125" defaultRowHeight="14" x14ac:dyDescent="0"/>
  <cols>
    <col min="1" max="1" width="4.5" customWidth="1"/>
    <col min="2" max="2" width="37.1640625" bestFit="1" customWidth="1"/>
    <col min="3" max="6" width="9.33203125" style="33" hidden="1" customWidth="1"/>
    <col min="9" max="9" width="10.5" bestFit="1" customWidth="1"/>
  </cols>
  <sheetData>
    <row r="1" spans="1:9">
      <c r="A1" t="s">
        <v>178</v>
      </c>
    </row>
    <row r="2" spans="1:9">
      <c r="A2" s="62" t="s">
        <v>111</v>
      </c>
    </row>
    <row r="3" spans="1:9">
      <c r="A3" s="51" t="s">
        <v>154</v>
      </c>
    </row>
    <row r="5" spans="1:9" s="33" customFormat="1">
      <c r="A5" s="33" t="s">
        <v>0</v>
      </c>
      <c r="C5" s="49" t="s">
        <v>112</v>
      </c>
      <c r="D5" s="49" t="s">
        <v>113</v>
      </c>
      <c r="E5" s="49" t="s">
        <v>114</v>
      </c>
      <c r="F5" s="49" t="s">
        <v>115</v>
      </c>
      <c r="G5" s="50" t="s">
        <v>116</v>
      </c>
    </row>
    <row r="6" spans="1:9" s="33" customFormat="1">
      <c r="B6" s="33" t="s">
        <v>52</v>
      </c>
      <c r="C6" s="20">
        <v>8750</v>
      </c>
      <c r="D6" s="20">
        <v>8750</v>
      </c>
      <c r="E6" s="20">
        <v>8750</v>
      </c>
      <c r="F6" s="20">
        <v>8750</v>
      </c>
      <c r="G6" s="20">
        <v>35000</v>
      </c>
      <c r="H6" s="32"/>
    </row>
    <row r="7" spans="1:9" s="33" customFormat="1">
      <c r="B7" s="33" t="s">
        <v>53</v>
      </c>
      <c r="C7" s="20">
        <f>72500-(F7+E7+D7)</f>
        <v>15300</v>
      </c>
      <c r="D7" s="20">
        <v>16450</v>
      </c>
      <c r="E7" s="20">
        <v>18300</v>
      </c>
      <c r="F7" s="20">
        <v>22450</v>
      </c>
      <c r="G7" s="20">
        <f>SUM(C7:F7)</f>
        <v>72500</v>
      </c>
      <c r="H7" s="32"/>
    </row>
    <row r="8" spans="1:9" s="33" customFormat="1">
      <c r="B8" s="5" t="s">
        <v>92</v>
      </c>
      <c r="C8" s="20">
        <v>25000</v>
      </c>
      <c r="D8" s="20">
        <v>25000</v>
      </c>
      <c r="E8" s="20">
        <v>25000</v>
      </c>
      <c r="F8" s="20">
        <v>25000</v>
      </c>
      <c r="G8" s="20">
        <f>SUM(C8:F8)</f>
        <v>100000</v>
      </c>
    </row>
    <row r="9" spans="1:9" s="33" customFormat="1">
      <c r="B9" s="33" t="s">
        <v>22</v>
      </c>
      <c r="C9" s="27">
        <f>500000/4</f>
        <v>125000</v>
      </c>
      <c r="D9" s="27">
        <f t="shared" ref="D9:F9" si="0">500000/4</f>
        <v>125000</v>
      </c>
      <c r="E9" s="27">
        <f t="shared" si="0"/>
        <v>125000</v>
      </c>
      <c r="F9" s="27">
        <f t="shared" si="0"/>
        <v>125000</v>
      </c>
      <c r="G9" s="27">
        <f>SUM(C9:F9)</f>
        <v>500000</v>
      </c>
    </row>
    <row r="10" spans="1:9" s="33" customFormat="1">
      <c r="G10" s="34"/>
    </row>
    <row r="11" spans="1:9" s="33" customFormat="1">
      <c r="B11" s="33" t="s">
        <v>3</v>
      </c>
      <c r="C11" s="19">
        <f t="shared" ref="C11:F11" si="1">SUM(C6:C9)</f>
        <v>174050</v>
      </c>
      <c r="D11" s="19">
        <f t="shared" si="1"/>
        <v>175200</v>
      </c>
      <c r="E11" s="19">
        <f t="shared" si="1"/>
        <v>177050</v>
      </c>
      <c r="F11" s="19">
        <f t="shared" si="1"/>
        <v>181200</v>
      </c>
      <c r="G11" s="19">
        <f>SUM(G6:G9)</f>
        <v>707500</v>
      </c>
    </row>
    <row r="12" spans="1:9" s="33" customFormat="1">
      <c r="G12" s="34"/>
    </row>
    <row r="13" spans="1:9" s="33" customFormat="1">
      <c r="A13" s="33" t="s">
        <v>4</v>
      </c>
      <c r="B13" s="45"/>
      <c r="C13" s="45"/>
      <c r="D13" s="45"/>
      <c r="E13" s="45"/>
      <c r="F13" s="45"/>
      <c r="G13" s="34"/>
    </row>
    <row r="14" spans="1:9" s="33" customFormat="1" hidden="1">
      <c r="B14" s="45" t="s">
        <v>25</v>
      </c>
      <c r="C14" s="34">
        <v>3750</v>
      </c>
      <c r="D14" s="34">
        <v>3850</v>
      </c>
      <c r="E14" s="34">
        <v>3650</v>
      </c>
      <c r="F14" s="34">
        <f>15000-C14-D14-E14</f>
        <v>3750</v>
      </c>
      <c r="G14" s="34">
        <f>SUM(C14:F14)</f>
        <v>15000</v>
      </c>
    </row>
    <row r="15" spans="1:9" s="33" customFormat="1" hidden="1">
      <c r="B15" s="45" t="s">
        <v>24</v>
      </c>
      <c r="C15" s="34">
        <v>2400</v>
      </c>
      <c r="D15" s="34">
        <v>2600</v>
      </c>
      <c r="E15" s="34">
        <v>2300</v>
      </c>
      <c r="F15" s="34">
        <v>2700</v>
      </c>
      <c r="G15" s="34">
        <f t="shared" ref="G15:G57" si="2">SUM(C15:F15)</f>
        <v>10000</v>
      </c>
      <c r="I15" s="34"/>
    </row>
    <row r="16" spans="1:9" s="33" customFormat="1">
      <c r="B16" s="45" t="s">
        <v>185</v>
      </c>
      <c r="C16" s="34">
        <f>C14+C15</f>
        <v>6150</v>
      </c>
      <c r="D16" s="34">
        <f t="shared" ref="D16:F16" si="3">D14+D15</f>
        <v>6450</v>
      </c>
      <c r="E16" s="34">
        <f t="shared" si="3"/>
        <v>5950</v>
      </c>
      <c r="F16" s="34">
        <f t="shared" si="3"/>
        <v>6450</v>
      </c>
      <c r="G16" s="34">
        <f t="shared" si="2"/>
        <v>25000</v>
      </c>
      <c r="I16" s="34"/>
    </row>
    <row r="17" spans="2:9" s="33" customFormat="1" hidden="1">
      <c r="B17" s="45" t="s">
        <v>41</v>
      </c>
      <c r="C17" s="34">
        <v>675</v>
      </c>
      <c r="D17" s="34">
        <v>1075</v>
      </c>
      <c r="E17" s="34">
        <v>1075</v>
      </c>
      <c r="F17" s="34">
        <v>675</v>
      </c>
      <c r="G17" s="34">
        <f t="shared" si="2"/>
        <v>3500</v>
      </c>
      <c r="I17" s="34"/>
    </row>
    <row r="18" spans="2:9" s="33" customFormat="1" hidden="1">
      <c r="B18" s="45" t="s">
        <v>42</v>
      </c>
      <c r="C18" s="34">
        <v>475</v>
      </c>
      <c r="D18" s="34">
        <v>275</v>
      </c>
      <c r="E18" s="34">
        <v>275</v>
      </c>
      <c r="F18" s="34">
        <v>475</v>
      </c>
      <c r="G18" s="34">
        <f t="shared" si="2"/>
        <v>1500</v>
      </c>
      <c r="I18" s="34"/>
    </row>
    <row r="19" spans="2:9" s="33" customFormat="1" hidden="1">
      <c r="B19" s="45" t="s">
        <v>43</v>
      </c>
      <c r="C19" s="34">
        <v>150</v>
      </c>
      <c r="D19" s="34">
        <v>150</v>
      </c>
      <c r="E19" s="34">
        <v>150</v>
      </c>
      <c r="F19" s="34">
        <v>150</v>
      </c>
      <c r="G19" s="34">
        <f t="shared" si="2"/>
        <v>600</v>
      </c>
      <c r="I19" s="34"/>
    </row>
    <row r="20" spans="2:9" s="33" customFormat="1" hidden="1">
      <c r="B20" s="45" t="s">
        <v>44</v>
      </c>
      <c r="C20" s="34">
        <v>1375</v>
      </c>
      <c r="D20" s="34">
        <v>1375</v>
      </c>
      <c r="E20" s="34">
        <v>1375</v>
      </c>
      <c r="F20" s="34">
        <v>1375</v>
      </c>
      <c r="G20" s="34">
        <f t="shared" si="2"/>
        <v>5500</v>
      </c>
      <c r="I20" s="34"/>
    </row>
    <row r="21" spans="2:9" s="33" customFormat="1" hidden="1">
      <c r="B21" s="45" t="s">
        <v>45</v>
      </c>
      <c r="C21" s="34">
        <v>400</v>
      </c>
      <c r="D21" s="34">
        <v>1750</v>
      </c>
      <c r="E21" s="34">
        <v>1750</v>
      </c>
      <c r="F21" s="34">
        <v>300</v>
      </c>
      <c r="G21" s="34">
        <f t="shared" ref="G21:G30" si="4">SUM(C21:F21)</f>
        <v>4200</v>
      </c>
    </row>
    <row r="22" spans="2:9" s="33" customFormat="1" hidden="1">
      <c r="B22" s="45" t="s">
        <v>46</v>
      </c>
      <c r="C22" s="34">
        <v>500</v>
      </c>
      <c r="D22" s="34">
        <v>250</v>
      </c>
      <c r="E22" s="34">
        <v>250</v>
      </c>
      <c r="F22" s="34">
        <v>0</v>
      </c>
      <c r="G22" s="34">
        <f t="shared" si="4"/>
        <v>1000</v>
      </c>
    </row>
    <row r="23" spans="2:9" s="33" customFormat="1" hidden="1">
      <c r="B23" s="45" t="s">
        <v>118</v>
      </c>
      <c r="C23" s="34">
        <v>1000</v>
      </c>
      <c r="D23" s="34">
        <v>1250</v>
      </c>
      <c r="E23" s="34">
        <v>1500</v>
      </c>
      <c r="F23" s="34">
        <v>1250</v>
      </c>
      <c r="G23" s="34">
        <f t="shared" si="4"/>
        <v>5000</v>
      </c>
      <c r="I23" s="34"/>
    </row>
    <row r="24" spans="2:9" s="33" customFormat="1" hidden="1">
      <c r="B24" s="45" t="s">
        <v>37</v>
      </c>
      <c r="C24" s="34">
        <v>6000</v>
      </c>
      <c r="D24" s="34">
        <v>0</v>
      </c>
      <c r="E24" s="34">
        <v>6000</v>
      </c>
      <c r="F24" s="34">
        <v>0</v>
      </c>
      <c r="G24" s="34">
        <f t="shared" si="4"/>
        <v>12000</v>
      </c>
    </row>
    <row r="25" spans="2:9" s="33" customFormat="1">
      <c r="B25" s="45" t="s">
        <v>186</v>
      </c>
      <c r="C25" s="34">
        <f>SUM(C17:C24)</f>
        <v>10575</v>
      </c>
      <c r="D25" s="34">
        <f t="shared" ref="D25:F25" si="5">SUM(D17:D24)</f>
        <v>6125</v>
      </c>
      <c r="E25" s="34">
        <f t="shared" si="5"/>
        <v>12375</v>
      </c>
      <c r="F25" s="34">
        <f t="shared" si="5"/>
        <v>4225</v>
      </c>
      <c r="G25" s="34">
        <f t="shared" si="4"/>
        <v>33300</v>
      </c>
      <c r="I25" s="34"/>
    </row>
    <row r="26" spans="2:9" s="33" customFormat="1">
      <c r="B26" s="45" t="s">
        <v>6</v>
      </c>
      <c r="C26" s="34">
        <v>75000</v>
      </c>
      <c r="D26" s="34">
        <v>53333</v>
      </c>
      <c r="E26" s="34">
        <v>53333</v>
      </c>
      <c r="F26" s="34">
        <v>53334</v>
      </c>
      <c r="G26" s="34">
        <f t="shared" si="4"/>
        <v>235000</v>
      </c>
      <c r="I26" s="34"/>
    </row>
    <row r="27" spans="2:9" s="33" customFormat="1" hidden="1">
      <c r="B27" s="45" t="s">
        <v>117</v>
      </c>
      <c r="C27" s="34">
        <v>0</v>
      </c>
      <c r="D27" s="34">
        <v>1500</v>
      </c>
      <c r="E27" s="34">
        <v>0</v>
      </c>
      <c r="F27" s="34">
        <v>4000</v>
      </c>
      <c r="G27" s="34">
        <f t="shared" si="4"/>
        <v>5500</v>
      </c>
      <c r="I27" s="34"/>
    </row>
    <row r="28" spans="2:9" s="33" customFormat="1" hidden="1">
      <c r="B28" s="45" t="s">
        <v>39</v>
      </c>
      <c r="C28" s="34">
        <v>1250</v>
      </c>
      <c r="D28" s="34">
        <v>1750</v>
      </c>
      <c r="E28" s="34">
        <v>1750</v>
      </c>
      <c r="F28" s="34">
        <v>1250</v>
      </c>
      <c r="G28" s="34">
        <f t="shared" si="4"/>
        <v>6000</v>
      </c>
      <c r="I28" s="34"/>
    </row>
    <row r="29" spans="2:9" s="33" customFormat="1" hidden="1">
      <c r="B29" s="45" t="s">
        <v>38</v>
      </c>
      <c r="C29" s="18">
        <v>2200</v>
      </c>
      <c r="D29" s="18">
        <v>0</v>
      </c>
      <c r="E29" s="18">
        <v>2000</v>
      </c>
      <c r="F29" s="18">
        <v>0</v>
      </c>
      <c r="G29" s="34">
        <f t="shared" si="4"/>
        <v>4200</v>
      </c>
      <c r="I29" s="34"/>
    </row>
    <row r="30" spans="2:9" s="33" customFormat="1">
      <c r="B30" s="45" t="s">
        <v>187</v>
      </c>
      <c r="C30" s="34">
        <f>SUM(C27:C29)</f>
        <v>3450</v>
      </c>
      <c r="D30" s="34">
        <f t="shared" ref="D30:F30" si="6">SUM(D27:D29)</f>
        <v>3250</v>
      </c>
      <c r="E30" s="34">
        <f t="shared" si="6"/>
        <v>3750</v>
      </c>
      <c r="F30" s="34">
        <f t="shared" si="6"/>
        <v>5250</v>
      </c>
      <c r="G30" s="34">
        <f t="shared" si="4"/>
        <v>15700</v>
      </c>
      <c r="I30" s="34"/>
    </row>
    <row r="31" spans="2:9" s="33" customFormat="1">
      <c r="B31" s="45" t="s">
        <v>26</v>
      </c>
      <c r="C31" s="34">
        <v>1000</v>
      </c>
      <c r="D31" s="34">
        <v>1000</v>
      </c>
      <c r="E31" s="34">
        <v>1000</v>
      </c>
      <c r="F31" s="34">
        <v>1000</v>
      </c>
      <c r="G31" s="34">
        <f t="shared" si="2"/>
        <v>4000</v>
      </c>
    </row>
    <row r="32" spans="2:9" s="33" customFormat="1">
      <c r="B32" s="33" t="s">
        <v>60</v>
      </c>
      <c r="C32" s="19">
        <v>2500</v>
      </c>
      <c r="D32" s="19">
        <v>3500</v>
      </c>
      <c r="E32" s="19">
        <v>3500</v>
      </c>
      <c r="F32" s="19">
        <v>4500</v>
      </c>
      <c r="G32" s="19">
        <f t="shared" ref="G32:G54" si="7">SUM(C32:F32)</f>
        <v>14000</v>
      </c>
    </row>
    <row r="33" spans="2:9" s="33" customFormat="1" hidden="1">
      <c r="B33" s="45" t="s">
        <v>33</v>
      </c>
      <c r="C33" s="34">
        <v>7500</v>
      </c>
      <c r="D33" s="34">
        <v>7500</v>
      </c>
      <c r="E33" s="34">
        <v>7500</v>
      </c>
      <c r="F33" s="34">
        <v>7500</v>
      </c>
      <c r="G33" s="34">
        <f t="shared" si="7"/>
        <v>30000</v>
      </c>
      <c r="I33" s="2"/>
    </row>
    <row r="34" spans="2:9" s="33" customFormat="1" hidden="1">
      <c r="B34" s="45" t="s">
        <v>32</v>
      </c>
      <c r="C34" s="34">
        <v>650</v>
      </c>
      <c r="D34" s="34">
        <v>650</v>
      </c>
      <c r="E34" s="34">
        <v>650</v>
      </c>
      <c r="F34" s="34">
        <v>650</v>
      </c>
      <c r="G34" s="34">
        <f t="shared" si="7"/>
        <v>2600</v>
      </c>
      <c r="I34" s="34"/>
    </row>
    <row r="35" spans="2:9" s="33" customFormat="1" hidden="1">
      <c r="B35" s="45" t="s">
        <v>31</v>
      </c>
      <c r="C35" s="34">
        <v>6125</v>
      </c>
      <c r="D35" s="34">
        <v>6125</v>
      </c>
      <c r="E35" s="34">
        <v>6125</v>
      </c>
      <c r="F35" s="34">
        <v>6125</v>
      </c>
      <c r="G35" s="34">
        <f t="shared" si="7"/>
        <v>24500</v>
      </c>
      <c r="I35" s="34"/>
    </row>
    <row r="36" spans="2:9" s="33" customFormat="1">
      <c r="B36" s="45" t="s">
        <v>179</v>
      </c>
      <c r="C36" s="34">
        <f>SUM(C33:C35)</f>
        <v>14275</v>
      </c>
      <c r="D36" s="34">
        <f t="shared" ref="D36:F36" si="8">SUM(D33:D35)</f>
        <v>14275</v>
      </c>
      <c r="E36" s="34">
        <f t="shared" si="8"/>
        <v>14275</v>
      </c>
      <c r="F36" s="34">
        <f t="shared" si="8"/>
        <v>14275</v>
      </c>
      <c r="G36" s="34">
        <f t="shared" si="7"/>
        <v>57100</v>
      </c>
    </row>
    <row r="37" spans="2:9" s="33" customFormat="1" hidden="1">
      <c r="B37" s="45" t="s">
        <v>49</v>
      </c>
      <c r="C37" s="18">
        <v>1250</v>
      </c>
      <c r="D37" s="18">
        <v>2250</v>
      </c>
      <c r="E37" s="18">
        <v>2250</v>
      </c>
      <c r="F37" s="18">
        <v>1250</v>
      </c>
      <c r="G37" s="34">
        <f t="shared" si="7"/>
        <v>7000</v>
      </c>
      <c r="I37" s="2"/>
    </row>
    <row r="38" spans="2:9" s="33" customFormat="1" hidden="1">
      <c r="B38" s="45" t="s">
        <v>50</v>
      </c>
      <c r="C38" s="18">
        <v>300</v>
      </c>
      <c r="D38" s="18">
        <v>300</v>
      </c>
      <c r="E38" s="18">
        <v>300</v>
      </c>
      <c r="F38" s="18">
        <v>300</v>
      </c>
      <c r="G38" s="34">
        <f t="shared" si="7"/>
        <v>1200</v>
      </c>
    </row>
    <row r="39" spans="2:9" s="33" customFormat="1">
      <c r="B39" s="45" t="s">
        <v>180</v>
      </c>
      <c r="C39" s="34">
        <f>SUM(C37:C38)</f>
        <v>1550</v>
      </c>
      <c r="D39" s="34">
        <f t="shared" ref="D39:F39" si="9">SUM(D37:D38)</f>
        <v>2550</v>
      </c>
      <c r="E39" s="34">
        <f t="shared" si="9"/>
        <v>2550</v>
      </c>
      <c r="F39" s="34">
        <f t="shared" si="9"/>
        <v>1550</v>
      </c>
      <c r="G39" s="34">
        <f t="shared" si="7"/>
        <v>8200</v>
      </c>
    </row>
    <row r="40" spans="2:9" s="33" customFormat="1" hidden="1">
      <c r="B40" s="45" t="s">
        <v>27</v>
      </c>
      <c r="C40" s="34">
        <v>2500</v>
      </c>
      <c r="D40" s="34">
        <v>0</v>
      </c>
      <c r="E40" s="34">
        <v>0</v>
      </c>
      <c r="F40" s="34">
        <v>2500</v>
      </c>
      <c r="G40" s="34">
        <f t="shared" si="7"/>
        <v>5000</v>
      </c>
    </row>
    <row r="41" spans="2:9" s="33" customFormat="1" hidden="1">
      <c r="B41" s="45" t="s">
        <v>101</v>
      </c>
      <c r="C41" s="34">
        <v>750</v>
      </c>
      <c r="D41" s="34">
        <v>750</v>
      </c>
      <c r="E41" s="34">
        <v>750</v>
      </c>
      <c r="F41" s="34">
        <v>750</v>
      </c>
      <c r="G41" s="34">
        <f t="shared" si="7"/>
        <v>3000</v>
      </c>
    </row>
    <row r="42" spans="2:9" s="33" customFormat="1" hidden="1">
      <c r="B42" s="45" t="s">
        <v>28</v>
      </c>
      <c r="C42" s="18">
        <v>5000</v>
      </c>
      <c r="D42" s="18">
        <v>2500</v>
      </c>
      <c r="E42" s="18">
        <v>2500</v>
      </c>
      <c r="F42" s="18">
        <v>10000</v>
      </c>
      <c r="G42" s="34">
        <f t="shared" si="7"/>
        <v>20000</v>
      </c>
    </row>
    <row r="43" spans="2:9" s="33" customFormat="1">
      <c r="B43" s="45" t="s">
        <v>184</v>
      </c>
      <c r="C43" s="18">
        <f>SUM(C40:C42)</f>
        <v>8250</v>
      </c>
      <c r="D43" s="18">
        <f t="shared" ref="D43:F43" si="10">SUM(D40:D42)</f>
        <v>3250</v>
      </c>
      <c r="E43" s="18">
        <f t="shared" si="10"/>
        <v>3250</v>
      </c>
      <c r="F43" s="18">
        <f t="shared" si="10"/>
        <v>13250</v>
      </c>
      <c r="G43" s="34">
        <f t="shared" si="7"/>
        <v>28000</v>
      </c>
    </row>
    <row r="44" spans="2:9" s="33" customFormat="1">
      <c r="B44" s="45" t="s">
        <v>181</v>
      </c>
      <c r="C44" s="34">
        <v>750</v>
      </c>
      <c r="D44" s="34">
        <v>750</v>
      </c>
      <c r="E44" s="34">
        <v>750</v>
      </c>
      <c r="F44" s="34">
        <v>750</v>
      </c>
      <c r="G44" s="34">
        <f t="shared" si="7"/>
        <v>3000</v>
      </c>
      <c r="I44" s="34"/>
    </row>
    <row r="45" spans="2:9" s="33" customFormat="1" hidden="1">
      <c r="B45" s="45" t="s">
        <v>29</v>
      </c>
      <c r="C45" s="18">
        <v>2250</v>
      </c>
      <c r="D45" s="18">
        <v>1250</v>
      </c>
      <c r="E45" s="18">
        <v>1250</v>
      </c>
      <c r="F45" s="18">
        <v>2250</v>
      </c>
      <c r="G45" s="34">
        <f t="shared" si="7"/>
        <v>7000</v>
      </c>
    </row>
    <row r="46" spans="2:9" s="33" customFormat="1" hidden="1">
      <c r="B46" s="45" t="s">
        <v>35</v>
      </c>
      <c r="C46" s="18">
        <f>1500/4</f>
        <v>375</v>
      </c>
      <c r="D46" s="18">
        <v>375</v>
      </c>
      <c r="E46" s="18">
        <v>375</v>
      </c>
      <c r="F46" s="18">
        <v>375</v>
      </c>
      <c r="G46" s="34">
        <f t="shared" si="7"/>
        <v>1500</v>
      </c>
    </row>
    <row r="47" spans="2:9" s="33" customFormat="1" hidden="1">
      <c r="B47" s="45" t="s">
        <v>51</v>
      </c>
      <c r="C47" s="18">
        <v>250</v>
      </c>
      <c r="D47" s="18">
        <v>250</v>
      </c>
      <c r="E47" s="18">
        <v>250</v>
      </c>
      <c r="F47" s="18">
        <v>250</v>
      </c>
      <c r="G47" s="34">
        <f t="shared" si="7"/>
        <v>1000</v>
      </c>
    </row>
    <row r="48" spans="2:9" s="33" customFormat="1">
      <c r="B48" s="45" t="s">
        <v>183</v>
      </c>
      <c r="C48" s="18">
        <f>SUM(C45:C47)</f>
        <v>2875</v>
      </c>
      <c r="D48" s="18">
        <f t="shared" ref="D48:F48" si="11">SUM(D45:D47)</f>
        <v>1875</v>
      </c>
      <c r="E48" s="18">
        <f t="shared" si="11"/>
        <v>1875</v>
      </c>
      <c r="F48" s="18">
        <f t="shared" si="11"/>
        <v>2875</v>
      </c>
      <c r="G48" s="34">
        <f t="shared" si="7"/>
        <v>9500</v>
      </c>
    </row>
    <row r="49" spans="2:9" s="33" customFormat="1">
      <c r="B49" s="45" t="s">
        <v>7</v>
      </c>
      <c r="C49" s="18">
        <v>6500</v>
      </c>
      <c r="D49" s="18">
        <v>4500</v>
      </c>
      <c r="E49" s="18">
        <v>4000</v>
      </c>
      <c r="F49" s="18">
        <v>5000</v>
      </c>
      <c r="G49" s="34">
        <f t="shared" si="7"/>
        <v>20000</v>
      </c>
    </row>
    <row r="50" spans="2:9" s="33" customFormat="1" hidden="1">
      <c r="B50" s="33" t="s">
        <v>5</v>
      </c>
      <c r="C50" s="18">
        <v>5000</v>
      </c>
      <c r="D50" s="18">
        <v>5000</v>
      </c>
      <c r="E50" s="18">
        <v>5000</v>
      </c>
      <c r="F50" s="18">
        <v>10000</v>
      </c>
      <c r="G50" s="34">
        <f t="shared" si="7"/>
        <v>25000</v>
      </c>
    </row>
    <row r="51" spans="2:9" s="33" customFormat="1" hidden="1">
      <c r="B51" s="33" t="s">
        <v>36</v>
      </c>
      <c r="C51" s="18">
        <v>2000</v>
      </c>
      <c r="D51" s="18">
        <v>0</v>
      </c>
      <c r="E51" s="18">
        <v>0</v>
      </c>
      <c r="F51" s="18">
        <v>2000</v>
      </c>
      <c r="G51" s="34">
        <f t="shared" si="7"/>
        <v>4000</v>
      </c>
    </row>
    <row r="52" spans="2:9" s="33" customFormat="1">
      <c r="B52" s="33" t="s">
        <v>182</v>
      </c>
      <c r="C52" s="18">
        <f>SUM(C50:C51)</f>
        <v>7000</v>
      </c>
      <c r="D52" s="18">
        <f t="shared" ref="D52:F52" si="12">SUM(D50:D51)</f>
        <v>5000</v>
      </c>
      <c r="E52" s="18">
        <f t="shared" si="12"/>
        <v>5000</v>
      </c>
      <c r="F52" s="18">
        <f t="shared" si="12"/>
        <v>12000</v>
      </c>
      <c r="G52" s="34">
        <f t="shared" si="7"/>
        <v>29000</v>
      </c>
    </row>
    <row r="53" spans="2:9" s="33" customFormat="1">
      <c r="B53" s="33" t="s">
        <v>168</v>
      </c>
      <c r="C53" s="18">
        <v>5750</v>
      </c>
      <c r="D53" s="18">
        <v>5750</v>
      </c>
      <c r="E53" s="18">
        <v>5750</v>
      </c>
      <c r="F53" s="18">
        <v>5750</v>
      </c>
      <c r="G53" s="34">
        <f t="shared" si="7"/>
        <v>23000</v>
      </c>
      <c r="I53" s="2"/>
    </row>
    <row r="54" spans="2:9" s="33" customFormat="1" hidden="1">
      <c r="B54" s="45" t="s">
        <v>119</v>
      </c>
      <c r="C54" s="18">
        <v>0</v>
      </c>
      <c r="D54" s="18">
        <v>500</v>
      </c>
      <c r="E54" s="18">
        <v>0</v>
      </c>
      <c r="F54" s="18">
        <v>1500</v>
      </c>
      <c r="G54" s="34">
        <f t="shared" si="7"/>
        <v>2000</v>
      </c>
    </row>
    <row r="55" spans="2:9" s="33" customFormat="1" hidden="1">
      <c r="B55" s="45" t="s">
        <v>48</v>
      </c>
      <c r="C55" s="34">
        <v>87</v>
      </c>
      <c r="D55" s="34">
        <v>87</v>
      </c>
      <c r="E55" s="34">
        <v>88</v>
      </c>
      <c r="F55" s="34">
        <v>88</v>
      </c>
      <c r="G55" s="34">
        <f t="shared" si="2"/>
        <v>350</v>
      </c>
      <c r="I55" s="2"/>
    </row>
    <row r="56" spans="2:9" s="33" customFormat="1">
      <c r="B56" s="45" t="s">
        <v>166</v>
      </c>
      <c r="C56" s="34">
        <f>C54+C55</f>
        <v>87</v>
      </c>
      <c r="D56" s="34">
        <f t="shared" ref="D56:F56" si="13">D54+D55</f>
        <v>587</v>
      </c>
      <c r="E56" s="34">
        <f t="shared" si="13"/>
        <v>88</v>
      </c>
      <c r="F56" s="34">
        <f t="shared" si="13"/>
        <v>1588</v>
      </c>
      <c r="G56" s="34">
        <f t="shared" si="2"/>
        <v>2350</v>
      </c>
      <c r="I56" s="2"/>
    </row>
    <row r="57" spans="2:9" s="33" customFormat="1">
      <c r="B57" s="45" t="s">
        <v>169</v>
      </c>
      <c r="C57" s="18">
        <v>2500</v>
      </c>
      <c r="D57" s="18">
        <v>2500</v>
      </c>
      <c r="E57" s="18">
        <v>2500</v>
      </c>
      <c r="F57" s="18">
        <v>2500</v>
      </c>
      <c r="G57" s="6">
        <f t="shared" si="2"/>
        <v>10000</v>
      </c>
    </row>
    <row r="59" spans="2:9">
      <c r="B59" s="33" t="s">
        <v>9</v>
      </c>
      <c r="C59" s="34">
        <f>C16+C25+C26+C30+C31+C32+C36+C39+C43+C44+C48+C49+C52+C53+C57+C56</f>
        <v>148212</v>
      </c>
      <c r="D59" s="34">
        <f t="shared" ref="D59:F59" si="14">D16+D25+D26+D30+D31+D32+D36+D39+D43+D44+D48+D49+D52+D53+D57+D56</f>
        <v>114695</v>
      </c>
      <c r="E59" s="34">
        <f t="shared" si="14"/>
        <v>119946</v>
      </c>
      <c r="F59" s="34">
        <f t="shared" si="14"/>
        <v>134297</v>
      </c>
      <c r="G59" s="34">
        <f>SUM(C59:F59)</f>
        <v>517150</v>
      </c>
    </row>
    <row r="61" spans="2:9" ht="15" thickBot="1">
      <c r="B61" t="s">
        <v>202</v>
      </c>
      <c r="C61" s="34">
        <f>C11-C59</f>
        <v>25838</v>
      </c>
      <c r="D61" s="34">
        <f>D11-D59</f>
        <v>60505</v>
      </c>
      <c r="E61" s="34">
        <f>E11-E59</f>
        <v>57104</v>
      </c>
      <c r="F61" s="34">
        <f>F11-F59</f>
        <v>46903</v>
      </c>
      <c r="G61" s="46">
        <f>G11-G59</f>
        <v>190350</v>
      </c>
    </row>
    <row r="62" spans="2:9" ht="15" thickTop="1"/>
    <row r="63" spans="2:9">
      <c r="G63" s="3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Assumptions</vt:lpstr>
      <vt:lpstr>Data</vt:lpstr>
      <vt:lpstr>Summary</vt:lpstr>
      <vt:lpstr>Balance Sheet</vt:lpstr>
      <vt:lpstr>PFS</vt:lpstr>
      <vt:lpstr>Budget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Kathryn Bolinske</cp:lastModifiedBy>
  <cp:lastPrinted>2017-01-17T20:07:44Z</cp:lastPrinted>
  <dcterms:created xsi:type="dcterms:W3CDTF">2014-06-11T15:36:14Z</dcterms:created>
  <dcterms:modified xsi:type="dcterms:W3CDTF">2018-02-20T17:59:20Z</dcterms:modified>
</cp:coreProperties>
</file>